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ork\SATKA\بخش ارزیابی\ارزیابی\ارزیابی پیمانکاران برای صنایع\فایل اکسل\"/>
    </mc:Choice>
  </mc:AlternateContent>
  <bookViews>
    <workbookView xWindow="-120" yWindow="-120" windowWidth="20730" windowHeight="11160" tabRatio="615" firstSheet="3" activeTab="8"/>
  </bookViews>
  <sheets>
    <sheet name="اطلاعات پایه" sheetId="9" state="veryHidden" r:id="rId1"/>
    <sheet name="امتیاز کل" sheetId="8" r:id="rId2"/>
    <sheet name=" اطلاعات عمومي و ثبتي شركت" sheetId="1" r:id="rId3"/>
    <sheet name="سابقه اجرایی" sheetId="5" r:id="rId4"/>
    <sheet name="حسن سابقه در کارهای قبلی" sheetId="6" r:id="rId5"/>
    <sheet name="توان مالی" sheetId="10" r:id="rId6"/>
    <sheet name="صلاحیت ایمنی" sheetId="20" r:id="rId7"/>
    <sheet name="تضمین کیفیت خدمات" sheetId="15" r:id="rId8"/>
    <sheet name="توان تجهیزاتی" sheetId="18" r:id="rId9"/>
    <sheet name="کفایت کادر فنی" sheetId="11" r:id="rId10"/>
  </sheets>
  <definedNames>
    <definedName name="_Hlk52032933" localSheetId="1">'امتیاز کل'!$E$3</definedName>
    <definedName name="_Toc42787377" localSheetId="8">'توان تجهیزاتی'!$B$1</definedName>
    <definedName name="_xlnm.Print_Area" localSheetId="5">'توان مالی'!$A$1:$K$9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0" l="1"/>
  <c r="F5" i="20"/>
  <c r="F4" i="20"/>
  <c r="F7" i="20" l="1"/>
  <c r="F8" i="20" s="1"/>
  <c r="D7" i="8" s="1"/>
  <c r="I7" i="11" l="1"/>
  <c r="J7" i="11"/>
  <c r="I8" i="11"/>
  <c r="J8" i="11"/>
  <c r="K8" i="11" s="1"/>
  <c r="I9" i="11"/>
  <c r="J9" i="11"/>
  <c r="I10" i="11"/>
  <c r="J10" i="11"/>
  <c r="K10" i="11" s="1"/>
  <c r="I11" i="11"/>
  <c r="J11" i="11"/>
  <c r="I12" i="11"/>
  <c r="J12" i="11"/>
  <c r="I13" i="11"/>
  <c r="J13" i="11"/>
  <c r="K13" i="11" s="1"/>
  <c r="I14" i="11"/>
  <c r="J14" i="11"/>
  <c r="K14" i="11" s="1"/>
  <c r="I15" i="11"/>
  <c r="J15" i="11"/>
  <c r="J6" i="11"/>
  <c r="K6" i="11" s="1"/>
  <c r="I6" i="11"/>
  <c r="G22" i="11"/>
  <c r="G23" i="11"/>
  <c r="G24" i="11"/>
  <c r="G25" i="11"/>
  <c r="G21" i="11"/>
  <c r="K7" i="11"/>
  <c r="K9" i="11"/>
  <c r="K11" i="11"/>
  <c r="K12" i="11"/>
  <c r="K15" i="11"/>
  <c r="G26" i="11" l="1"/>
  <c r="I16" i="11"/>
  <c r="K16" i="11"/>
  <c r="E30" i="11" s="1"/>
  <c r="J16" i="11"/>
  <c r="D8" i="8" l="1"/>
  <c r="E71" i="18"/>
  <c r="E72" i="18" s="1"/>
  <c r="D9" i="8" s="1"/>
  <c r="Q6" i="15" l="1"/>
  <c r="Q7" i="15"/>
  <c r="Q8" i="15"/>
  <c r="Q9" i="15"/>
  <c r="Q5" i="15"/>
  <c r="Q10" i="15" l="1"/>
  <c r="Q11" i="15" s="1"/>
  <c r="I9" i="9"/>
  <c r="N43" i="5"/>
  <c r="O28" i="5"/>
  <c r="N28" i="5"/>
  <c r="N44" i="5" l="1"/>
  <c r="O44" i="5" s="1"/>
  <c r="N45" i="5"/>
  <c r="O45" i="5"/>
  <c r="N46" i="5"/>
  <c r="O46" i="5" s="1"/>
  <c r="N47" i="5"/>
  <c r="O47" i="5" s="1"/>
  <c r="O43" i="5"/>
  <c r="N29" i="5"/>
  <c r="O29" i="5" s="1"/>
  <c r="N30" i="5"/>
  <c r="O30" i="5" s="1"/>
  <c r="N31" i="5"/>
  <c r="O31" i="5" s="1"/>
  <c r="N32" i="5"/>
  <c r="O32" i="5" s="1"/>
  <c r="N33" i="5"/>
  <c r="O33" i="5" s="1"/>
  <c r="N34" i="5"/>
  <c r="O34" i="5" s="1"/>
  <c r="N35" i="5"/>
  <c r="O35" i="5" s="1"/>
  <c r="N36" i="5"/>
  <c r="O36" i="5" s="1"/>
  <c r="N37" i="5"/>
  <c r="O37" i="5" s="1"/>
  <c r="E11" i="8" l="1"/>
  <c r="D27" i="6" l="1"/>
  <c r="E27" i="6"/>
  <c r="F27" i="6"/>
  <c r="G27" i="6"/>
  <c r="H27" i="6"/>
  <c r="N38" i="5" l="1"/>
  <c r="H28" i="6"/>
  <c r="E31" i="11"/>
  <c r="E32" i="11" s="1"/>
  <c r="E33" i="11" l="1"/>
  <c r="D10" i="8" s="1"/>
  <c r="E6" i="10"/>
  <c r="E5" i="10"/>
  <c r="I4" i="9"/>
  <c r="I5" i="9"/>
  <c r="I6" i="9"/>
  <c r="I7" i="9"/>
  <c r="I8" i="9"/>
  <c r="F17" i="10" l="1"/>
  <c r="I10" i="9"/>
  <c r="I11" i="9"/>
  <c r="I12" i="9"/>
  <c r="I13" i="9"/>
  <c r="I14" i="9"/>
  <c r="E13" i="10" l="1"/>
  <c r="E14" i="10"/>
  <c r="E15" i="10"/>
  <c r="E16" i="10"/>
  <c r="F16" i="10" l="1"/>
  <c r="F15" i="10"/>
  <c r="F14" i="10"/>
  <c r="F13" i="10"/>
  <c r="E7" i="10"/>
  <c r="F18" i="10" l="1"/>
  <c r="F19" i="10" s="1"/>
  <c r="D4" i="10" l="1"/>
  <c r="E4" i="10" s="1"/>
  <c r="E8" i="10" s="1"/>
  <c r="F4" i="10" s="1"/>
  <c r="F9" i="10" s="1"/>
  <c r="D6" i="8" s="1"/>
  <c r="N48" i="5"/>
  <c r="O48" i="5" l="1"/>
  <c r="O49" i="5" s="1"/>
  <c r="E51" i="5" l="1"/>
  <c r="H29" i="6" l="1"/>
  <c r="D5" i="8" s="1"/>
  <c r="O38" i="5" l="1"/>
  <c r="O39" i="5" s="1"/>
  <c r="E50" i="5" s="1"/>
  <c r="E52" i="5" s="1"/>
  <c r="E53" i="5" l="1"/>
  <c r="E54" i="5" l="1"/>
  <c r="D4" i="8" s="1"/>
  <c r="D11" i="8" l="1"/>
  <c r="F11" i="8" s="1"/>
</calcChain>
</file>

<file path=xl/sharedStrings.xml><?xml version="1.0" encoding="utf-8"?>
<sst xmlns="http://schemas.openxmlformats.org/spreadsheetml/2006/main" count="386" uniqueCount="288">
  <si>
    <t xml:space="preserve"> اطلاعات عمومي و ثبتي شركت</t>
  </si>
  <si>
    <t>نام شرکت</t>
  </si>
  <si>
    <t>تاريخ، شماره و محل ثبت شرکت</t>
  </si>
  <si>
    <t>شناسه ملي</t>
  </si>
  <si>
    <t>نوع شركت (خصوصي، دولتي، وابسته به نهاد عمومی غیردولتی و یا گروه همکاري)</t>
  </si>
  <si>
    <t>نشاني دفتر مركزي</t>
  </si>
  <si>
    <t>دورنگار</t>
  </si>
  <si>
    <t>نام شركت/ شركت‌هاي همكار ايراني/ بین‌المللی (در صورت وجود) و ميزان و نحوه مشاركت</t>
  </si>
  <si>
    <t>نام شرکت‌هایی که با این شرکت سهام‌دار/ هیات مدیره مشترك دارند</t>
  </si>
  <si>
    <t>رئيس هيأت مديره</t>
  </si>
  <si>
    <t>نام و نام خانوادگی:</t>
  </si>
  <si>
    <t>سابقه كار در این سمت:</t>
  </si>
  <si>
    <t>مدرك و رشته تحصيلي:</t>
  </si>
  <si>
    <t>سال اخذ مدرك:</t>
  </si>
  <si>
    <t>مدیرعامل</t>
  </si>
  <si>
    <t>سابقه كار در اين سمت:</t>
  </si>
  <si>
    <r>
      <t xml:space="preserve">وب سايت و </t>
    </r>
    <r>
      <rPr>
        <sz val="14"/>
        <color rgb="FF000000"/>
        <rFont val="Calibri"/>
        <family val="2"/>
      </rPr>
      <t>Email</t>
    </r>
  </si>
  <si>
    <r>
      <t>زمينه‌هاي</t>
    </r>
    <r>
      <rPr>
        <b/>
        <sz val="12"/>
        <color rgb="FF000000"/>
        <rFont val="BNazanin"/>
      </rPr>
      <t xml:space="preserve"> </t>
    </r>
    <r>
      <rPr>
        <b/>
        <sz val="12"/>
        <color rgb="FF000000"/>
        <rFont val="B Nazanin"/>
        <charset val="178"/>
      </rPr>
      <t>فعاليت</t>
    </r>
    <r>
      <rPr>
        <b/>
        <sz val="12"/>
        <color rgb="FF000000"/>
        <rFont val="BNazanin"/>
      </rPr>
      <t xml:space="preserve"> </t>
    </r>
    <r>
      <rPr>
        <b/>
        <sz val="12"/>
        <color rgb="FF000000"/>
        <rFont val="B Nazanin"/>
        <charset val="178"/>
      </rPr>
      <t>و</t>
    </r>
    <r>
      <rPr>
        <b/>
        <sz val="12"/>
        <color rgb="FF000000"/>
        <rFont val="BNazanin"/>
      </rPr>
      <t xml:space="preserve"> </t>
    </r>
    <r>
      <rPr>
        <b/>
        <sz val="12"/>
        <color rgb="FF000000"/>
        <rFont val="B Nazanin"/>
        <charset val="178"/>
      </rPr>
      <t>سوابق</t>
    </r>
    <r>
      <rPr>
        <b/>
        <sz val="12"/>
        <color rgb="FF000000"/>
        <rFont val="BNazanin"/>
      </rPr>
      <t xml:space="preserve"> </t>
    </r>
    <r>
      <rPr>
        <b/>
        <sz val="12"/>
        <color rgb="FF000000"/>
        <rFont val="B Nazanin"/>
        <charset val="178"/>
      </rPr>
      <t>كاري شركت:</t>
    </r>
  </si>
  <si>
    <t>شرح كاملي از مشخصات و تخصص‌هاي شركت را بيان نماييد‌ (بر اساس اساسنامه و آگهی آخرین تغییرات و مستندات مربوط‌)</t>
  </si>
  <si>
    <t>رديف</t>
  </si>
  <si>
    <t>شرح</t>
  </si>
  <si>
    <t>تعداد</t>
  </si>
  <si>
    <t>مطابق جدول کار مشابه</t>
  </si>
  <si>
    <t>مطابق جدول کار مرتبط</t>
  </si>
  <si>
    <t>در صورتي كه شرکت متقاضی امتياز رديف 1 جدول را  به ‌صورت كامل كسب نموده باشد، نیازی به محاسبه امتياز رديف دوم نیست.</t>
  </si>
  <si>
    <t>امتیاز هر کار</t>
  </si>
  <si>
    <t>حداکثر امتیاز قابل قبول</t>
  </si>
  <si>
    <t>نوع فعالیت</t>
  </si>
  <si>
    <t>خط و پست</t>
  </si>
  <si>
    <t xml:space="preserve"> عنوان معیار/شاخص</t>
  </si>
  <si>
    <t>امتیاز</t>
  </si>
  <si>
    <t>عنوان</t>
  </si>
  <si>
    <t>پروژه 1</t>
  </si>
  <si>
    <t>پروژه 2</t>
  </si>
  <si>
    <t>پروژه 3</t>
  </si>
  <si>
    <t>پروژه 4</t>
  </si>
  <si>
    <t>پروژه 5</t>
  </si>
  <si>
    <t>نام پروژه:</t>
  </si>
  <si>
    <t>مدت قرارداد:</t>
  </si>
  <si>
    <t>تاریخ شروع:</t>
  </si>
  <si>
    <t>تاریخ تحویل:</t>
  </si>
  <si>
    <t xml:space="preserve">نام فرد مطلع در سیستم کارفرما: </t>
  </si>
  <si>
    <t>امتیاز کل</t>
  </si>
  <si>
    <t>ردیف</t>
  </si>
  <si>
    <t>امتیاز مکتسبه</t>
  </si>
  <si>
    <t>امتیاز معیار</t>
  </si>
  <si>
    <t>ملاحظات</t>
  </si>
  <si>
    <t>معیار ارزیابی پیمانکار</t>
  </si>
  <si>
    <t>پروژه 6</t>
  </si>
  <si>
    <t>پروژه 7</t>
  </si>
  <si>
    <t>پروژه 8</t>
  </si>
  <si>
    <t>پروژه 9</t>
  </si>
  <si>
    <t>پروژه 10</t>
  </si>
  <si>
    <t>نام و نشانی کارفرما:</t>
  </si>
  <si>
    <t>جمع امتیاز</t>
  </si>
  <si>
    <t>امتياز هريك از شاخص‌ها (0 تا 100)</t>
  </si>
  <si>
    <t>ضريب وزنی</t>
  </si>
  <si>
    <t>عالی</t>
  </si>
  <si>
    <t>خوب</t>
  </si>
  <si>
    <t>متوسط</t>
  </si>
  <si>
    <t>ضعيف</t>
  </si>
  <si>
    <t>كيفيت كار</t>
  </si>
  <si>
    <t xml:space="preserve">كفايت كادر فني </t>
  </si>
  <si>
    <t>زمان‌بندي پروژه</t>
  </si>
  <si>
    <t>استفاده از تجهیزات مناسب و کافی جهت انجام کار</t>
  </si>
  <si>
    <t>هماهنگي و همكاري با كارفرما و ساير عوامل‌ دست‌اندر‌كار پروژه و همچنين همكاري دردوران تضمين</t>
  </si>
  <si>
    <t>عملکرد مالي و نحوه پشتيباني مالي پروژه</t>
  </si>
  <si>
    <t>رابط پروژه برای مکاتبات</t>
  </si>
  <si>
    <t xml:space="preserve">راهنما - در صورت ارائه رضایت نامه، امتیاز ایتم ها معادل خوب (80 امتیاز) در نظر گرفته شود. </t>
  </si>
  <si>
    <t>توضیحات</t>
  </si>
  <si>
    <t>ضعیف</t>
  </si>
  <si>
    <t>خیلی خوب</t>
  </si>
  <si>
    <t>""</t>
  </si>
  <si>
    <t>امتیاز پروژه</t>
  </si>
  <si>
    <t>نام پروژه</t>
  </si>
  <si>
    <t>نام کارفرما</t>
  </si>
  <si>
    <t>تامین صرف</t>
  </si>
  <si>
    <t>خط</t>
  </si>
  <si>
    <t>تعمیر و نگهداری</t>
  </si>
  <si>
    <t>تامین</t>
  </si>
  <si>
    <t>شاخه فعالیت</t>
  </si>
  <si>
    <t>پست</t>
  </si>
  <si>
    <t>امتیاز شرط ظرفیت</t>
  </si>
  <si>
    <t>امتیاز نهایی</t>
  </si>
  <si>
    <t>سابقه اجرایی</t>
  </si>
  <si>
    <t>حسن سابقه در کارهای قبلی</t>
  </si>
  <si>
    <t>توان مالی</t>
  </si>
  <si>
    <t>تضمین کیفیت خدمات (گارانتی)</t>
  </si>
  <si>
    <t>توان تجهیزاتی</t>
  </si>
  <si>
    <t>تاریخ تکمیل فرم:</t>
  </si>
  <si>
    <t>پیمان در حوزه نیروگاه فتوولتائیک</t>
  </si>
  <si>
    <t>ارائه سوابق از رشته اصلی</t>
  </si>
  <si>
    <t xml:space="preserve">ارائه سوابق از رشته مشابه </t>
  </si>
  <si>
    <t>پیمان در رشته اصلی: پیمان در حوزه نیروگاه فتوولتائیک</t>
  </si>
  <si>
    <t>پیمان در رشته مشابه: پیمان‎‌‎های مرتبط با پیمانکاری برق و انرژی</t>
  </si>
  <si>
    <t>نام مشاور (در صورت وجود):</t>
  </si>
  <si>
    <t>شماره قرارداد:</t>
  </si>
  <si>
    <t>مبلغ قرارداد:</t>
  </si>
  <si>
    <t xml:space="preserve"> پیمانکاری برق و انرژی</t>
  </si>
  <si>
    <t>امتیاز قابل قبول</t>
  </si>
  <si>
    <t>گزینه</t>
  </si>
  <si>
    <t>مبلغ   (ریال)</t>
  </si>
  <si>
    <t>مبلغ محاسباتی</t>
  </si>
  <si>
    <t xml:space="preserve">امتیاز توان مالی </t>
  </si>
  <si>
    <t>ضریب تعدیل</t>
  </si>
  <si>
    <t xml:space="preserve"> امتیاز معیار توان مالی</t>
  </si>
  <si>
    <t xml:space="preserve">دارايي‌هاي ثابت، مستند به آخرین اظهارنامه مالیاتی يا گواهي بيمه دارايي‌ها </t>
  </si>
  <si>
    <t>سال</t>
  </si>
  <si>
    <t>نصاب معاملات متوسط سال 1401</t>
  </si>
  <si>
    <t>رشته تحصیلی</t>
  </si>
  <si>
    <t>مکانیک</t>
  </si>
  <si>
    <t>برق</t>
  </si>
  <si>
    <t>امتیاز کسب شده</t>
  </si>
  <si>
    <t>دارد</t>
  </si>
  <si>
    <t>ندارد</t>
  </si>
  <si>
    <t>وضعیت مدرک</t>
  </si>
  <si>
    <r>
      <t>ظرفیت نیروگاه (</t>
    </r>
    <r>
      <rPr>
        <b/>
        <sz val="11"/>
        <color rgb="FF000000"/>
        <rFont val="Times New Roman"/>
        <family val="1"/>
      </rPr>
      <t>kW</t>
    </r>
    <r>
      <rPr>
        <b/>
        <sz val="11"/>
        <color rgb="FF000000"/>
        <rFont val="B Nazanin"/>
        <charset val="178"/>
      </rPr>
      <t>)</t>
    </r>
  </si>
  <si>
    <t>امتیاز کسب شده قابل قبول</t>
  </si>
  <si>
    <t>مالیات متوسط سالانه، مستند به اسناد مالیات های قطعی یا علی الحساب پرداخت شده سالانه</t>
  </si>
  <si>
    <t>میزان مالیات (ریال)</t>
  </si>
  <si>
    <t>امتیاز معیار سابقه اجرایی</t>
  </si>
  <si>
    <t>جدول راهنما</t>
  </si>
  <si>
    <r>
      <t>ظرفیت نیروگاه (</t>
    </r>
    <r>
      <rPr>
        <b/>
        <sz val="12"/>
        <color rgb="FF000000"/>
        <rFont val="Times New Roman"/>
        <family val="1"/>
      </rPr>
      <t>kW</t>
    </r>
    <r>
      <rPr>
        <b/>
        <sz val="12"/>
        <color rgb="FF000000"/>
        <rFont val="B Nazanin"/>
        <charset val="178"/>
      </rPr>
      <t>)</t>
    </r>
  </si>
  <si>
    <t>امتياز معيار سابقه اجرايي</t>
  </si>
  <si>
    <t>امتياز معيار حسن سابقه در کارهای قبلی</t>
  </si>
  <si>
    <t>امتیاز تضمین کیفیت خدمات</t>
  </si>
  <si>
    <t xml:space="preserve">مالیات تعدیل شده </t>
  </si>
  <si>
    <t>معیار ارزیابی</t>
  </si>
  <si>
    <r>
      <t xml:space="preserve"> </t>
    </r>
    <r>
      <rPr>
        <b/>
        <sz val="12"/>
        <color rgb="FF000000"/>
        <rFont val="Times New Roman"/>
        <family val="1"/>
      </rPr>
      <t>a</t>
    </r>
    <r>
      <rPr>
        <b/>
        <vertAlign val="subscript"/>
        <sz val="12"/>
        <color rgb="FF000000"/>
        <rFont val="Times New Roman"/>
        <family val="1"/>
      </rPr>
      <t>i</t>
    </r>
  </si>
  <si>
    <r>
      <t xml:space="preserve"> </t>
    </r>
    <r>
      <rPr>
        <b/>
        <vertAlign val="subscript"/>
        <sz val="14"/>
        <color rgb="FF000000"/>
        <rFont val="Times New Roman"/>
        <family val="1"/>
      </rPr>
      <t>bi</t>
    </r>
  </si>
  <si>
    <t>میانگین</t>
  </si>
  <si>
    <t>میانگین مالیات</t>
  </si>
  <si>
    <t>مهندسی انرژی</t>
  </si>
  <si>
    <t xml:space="preserve"> درآمد ناخالص آخرین سال مستند به صورت‌های مالی یا اظهارنامه مالیاتی</t>
  </si>
  <si>
    <t>تعداد ردیفهای پر شده</t>
  </si>
  <si>
    <t xml:space="preserve">گواهینامه رشته نیرو از سازمان برنامه و بودجه </t>
  </si>
  <si>
    <t>نام مشتری</t>
  </si>
  <si>
    <t>آدرس نیروگاه</t>
  </si>
  <si>
    <t>شماره پرونده کنتور</t>
  </si>
  <si>
    <t>تعداد پنل</t>
  </si>
  <si>
    <t>مشخصات پنل</t>
  </si>
  <si>
    <t>تعداد و مشخصات اینورتر</t>
  </si>
  <si>
    <t>تاریخ نصب</t>
  </si>
  <si>
    <t>ظرفیت نیروگاه</t>
  </si>
  <si>
    <t>شماره قرارداد</t>
  </si>
  <si>
    <t>تاریخ قرارداد</t>
  </si>
  <si>
    <t>نوع گارنتی</t>
  </si>
  <si>
    <t>مدت گارانتی</t>
  </si>
  <si>
    <t>کفایت و کیفیت کادر فنی</t>
  </si>
  <si>
    <t>تجهیزات ایمنی</t>
  </si>
  <si>
    <t>معيار توان تجهیزاتی</t>
  </si>
  <si>
    <t>کفایت کادر فنی</t>
  </si>
  <si>
    <t>کادر فنی</t>
  </si>
  <si>
    <t>عمران</t>
  </si>
  <si>
    <t>نام گواهی‌نامه آموزش‌های تخصصی مرتبط گذرانده شده</t>
  </si>
  <si>
    <t>امتیاز رشته تحصیلی</t>
  </si>
  <si>
    <t>نام و نام خانوادگی 
(نیروی انسانی متخصص)</t>
  </si>
  <si>
    <t>سابقه کار مفید
(سال)</t>
  </si>
  <si>
    <t xml:space="preserve">گواهی‌نامه‌ آموزش‌های تخصصی گذارنده شده </t>
  </si>
  <si>
    <t>شرح گواهی‌نامه آموزش‌های تخصصی مرتبط گذرانده شده</t>
  </si>
  <si>
    <t>رشته اصلی: نیروگاه فتوولتائیک</t>
  </si>
  <si>
    <t>رشته اصلی: فتوولتائیک</t>
  </si>
  <si>
    <t>رشته مشابه: غیرفتوولتائیک</t>
  </si>
  <si>
    <t>پیمان در رشته اصلی یا مشابه</t>
  </si>
  <si>
    <t>هماهنگي و همكاري با كارفرما و ساير عوامل‌ دست‌اندر‌كار پروژه و همچنين همكاري در دوران تضمين</t>
  </si>
  <si>
    <t>توجه: کپی برابر اصل گواهی‌نامه‌های تخصصی ضمیمه‌ی اسناد گردد.</t>
  </si>
  <si>
    <r>
      <t>نحوه محاسبه امتياز معيار حسن سابقه و رضایت در کارهای قبلی</t>
    </r>
    <r>
      <rPr>
        <b/>
        <sz val="16"/>
        <rFont val="B Nazanin"/>
        <charset val="178"/>
      </rPr>
      <t xml:space="preserve"> (رشته اصلی/رشته مشابه)</t>
    </r>
  </si>
  <si>
    <t>رشته مشابه: پیمانکاری برق و انرژی</t>
  </si>
  <si>
    <t xml:space="preserve"> امتیاز کسب شده جدول رشته اصلی: نیروگاه فتوولتائیک</t>
  </si>
  <si>
    <t>امتیاز کسب شده از جدول رشته مشابه: پیمانکاری برق و انرژی</t>
  </si>
  <si>
    <t>امتیاز معیار کفایت و کیفیت کادر فنی</t>
  </si>
  <si>
    <t xml:space="preserve"> امتیاز کسب شده کفایت کادر فنی</t>
  </si>
  <si>
    <t>ارائه قراردادهای مشمول گارنتی بر اساس فرم ذیل</t>
  </si>
  <si>
    <t>امتیاز کل ارزیابی صلاحیت پیمانکاران انشعابی</t>
  </si>
  <si>
    <t>گواهینامه صلاحیت پیمانکاری سازمان برنامه</t>
  </si>
  <si>
    <t>گواهینامه صلاحیت ایمنی وزارت کار</t>
  </si>
  <si>
    <t>تاریخ اعتبار:</t>
  </si>
  <si>
    <t>20 کیلووات و کمتر</t>
  </si>
  <si>
    <t>kW21 x˃≤kW 200</t>
  </si>
  <si>
    <t>kW200 x˃≤kW 1000</t>
  </si>
  <si>
    <t>MW1x˃≤ MW7</t>
  </si>
  <si>
    <t>MW7x˃≤ MW25</t>
  </si>
  <si>
    <t>25 مگاوات و بیشتر</t>
  </si>
  <si>
    <t>نیروگاه های غیرفتوولتائیک بالاتر از یک مگاوات</t>
  </si>
  <si>
    <t>رشته و رتبه
و تاریخ اعتبار:</t>
  </si>
  <si>
    <t>اجرای الکتریکال</t>
  </si>
  <si>
    <t>اجرای مکانیکال</t>
  </si>
  <si>
    <t>اجرای کامل</t>
  </si>
  <si>
    <r>
      <t xml:space="preserve">متوسط مالیات سالانه، مستند به اسناد مالیات های قطعی سالانه یا علی الحساب پرداخت شده (حداکثر 5 سال گذشته) - </t>
    </r>
    <r>
      <rPr>
        <sz val="12"/>
        <rFont val="B Nazanin"/>
        <charset val="178"/>
      </rPr>
      <t>(پس از تعدیل بانک مرکزی برای هر سال)</t>
    </r>
  </si>
  <si>
    <t>تأیید اعتبار از سوی بانک و یا مؤسسات مالی و اعتباری معتبر تا 30 برابر سقف معاملات متوسط</t>
  </si>
  <si>
    <t xml:space="preserve"> تنها سلولهای به رنگ زرد و آبی می بایست تکمیل شود.
سلولهای آبی بر اساس گزینه های لیست کشویی تکمیل شود.
سلولهای زرد به صورت تایپ تکمیل شود.</t>
  </si>
  <si>
    <r>
      <rPr>
        <b/>
        <sz val="14"/>
        <color theme="1"/>
        <rFont val="B Nazanin"/>
        <charset val="178"/>
      </rPr>
      <t>توجه:</t>
    </r>
    <r>
      <rPr>
        <sz val="14"/>
        <color theme="1"/>
        <rFont val="B Nazanin"/>
        <charset val="178"/>
      </rPr>
      <t xml:space="preserve"> معیار حسن سابقه شرکت متقاضی، باید صرفاً مربوط به هر یک از پیمان‌های </t>
    </r>
    <r>
      <rPr>
        <b/>
        <sz val="14"/>
        <color theme="1"/>
        <rFont val="B Nazanin"/>
        <charset val="178"/>
      </rPr>
      <t>رشته اصلی</t>
    </r>
    <r>
      <rPr>
        <sz val="14"/>
        <color theme="1"/>
        <rFont val="B Nazanin"/>
        <charset val="178"/>
      </rPr>
      <t xml:space="preserve"> بیان شده در ارزیابی معیار سابقه اجرائی باشد که توسط کارفرمایان همان پیمان تکمیل شده باشد.
</t>
    </r>
    <r>
      <rPr>
        <sz val="14"/>
        <color rgb="FFFF0000"/>
        <rFont val="B Nazanin"/>
        <charset val="178"/>
      </rPr>
      <t xml:space="preserve">میانگین امتیاز این معیار از 5 است، بنابراین در صورت ارائه تعداد کمتری از فرمهای حسن سابقه، در میانگین تاثیر بالایی خواهد داشت.
</t>
    </r>
    <r>
      <rPr>
        <sz val="14"/>
        <rFont val="B Nazanin"/>
        <charset val="178"/>
      </rPr>
      <t xml:space="preserve">صرفاً 2 رضایت نامه از </t>
    </r>
    <r>
      <rPr>
        <b/>
        <sz val="14"/>
        <rFont val="B Nazanin"/>
        <charset val="178"/>
      </rPr>
      <t>رشته مشابه</t>
    </r>
    <r>
      <rPr>
        <sz val="14"/>
        <rFont val="B Nazanin"/>
        <charset val="178"/>
      </rPr>
      <t xml:space="preserve"> با ضریب امتیاز 50 درصد از امتیاز هر رضایت نامه قابل ارائه توسط متقاضی می باشد. </t>
    </r>
  </si>
  <si>
    <t>تلفن همراه و ثابت مشتری</t>
  </si>
  <si>
    <t>رضایت و امضای مشتری</t>
  </si>
  <si>
    <t>تجهیزات مرتبط با نصب سازه</t>
  </si>
  <si>
    <t>گریدر</t>
  </si>
  <si>
    <t>ماشین پایه کوب</t>
  </si>
  <si>
    <t>موتور برق گازوئیلی</t>
  </si>
  <si>
    <t>پمپ اب برقی</t>
  </si>
  <si>
    <t>دستگاه دیزل ژنراتور</t>
  </si>
  <si>
    <t>جعبه بکس</t>
  </si>
  <si>
    <t>قیچی کابل</t>
  </si>
  <si>
    <t>قلتک</t>
  </si>
  <si>
    <t>ماشین آب پاش</t>
  </si>
  <si>
    <t>تانکر آب</t>
  </si>
  <si>
    <t>کانکس نگهبانی / کانس اداری با تجهیزات</t>
  </si>
  <si>
    <t>لیفتراک و بالابر</t>
  </si>
  <si>
    <t>جرثقیل</t>
  </si>
  <si>
    <t>بیل مکانیکی</t>
  </si>
  <si>
    <t>تجهیزات خم و برش میلگرد برای آرماتور بندی فونداسیون (ترانس و پست پاساژ)</t>
  </si>
  <si>
    <t>دریل شارژي</t>
  </si>
  <si>
    <t>دریل برقی</t>
  </si>
  <si>
    <t>آچار ترك</t>
  </si>
  <si>
    <t>جعبه ابزار نصب سازه</t>
  </si>
  <si>
    <t>دریل هیلتی</t>
  </si>
  <si>
    <t>دریل مخصوص بتون</t>
  </si>
  <si>
    <t>دوربین و شاخص نقشه برداری</t>
  </si>
  <si>
    <t>میکسر بتون</t>
  </si>
  <si>
    <t>دستگاه پرچ</t>
  </si>
  <si>
    <t>دستگاه جوش</t>
  </si>
  <si>
    <t>مینی سنگ فرز</t>
  </si>
  <si>
    <t>سنگ فرز</t>
  </si>
  <si>
    <t>جعبه ابزار نصب تجهیزات الکتریکی</t>
  </si>
  <si>
    <t>تراز لیزري و دستی</t>
  </si>
  <si>
    <t>دریل حفاری با متعلقات</t>
  </si>
  <si>
    <t>متر چرخ دار و لیزری</t>
  </si>
  <si>
    <t>ابزار آلات باز و بسته کردن پیچ و مهره</t>
  </si>
  <si>
    <t>دستگاه حدیده</t>
  </si>
  <si>
    <t>ابزارآلات مرتبط با نصب تجهیزات نیروگاه خورشیدی (الکتریکال و مکانیکال)</t>
  </si>
  <si>
    <t>نردبان</t>
  </si>
  <si>
    <t>ارت سنج</t>
  </si>
  <si>
    <t>مولتی متر دیجیتال</t>
  </si>
  <si>
    <t>دستگاه حرارت سنج مادون قرمز</t>
  </si>
  <si>
    <t>تستر مقاومت عایقی میگر</t>
  </si>
  <si>
    <t>مولتی متر کلمپی</t>
  </si>
  <si>
    <t>تستر کابل و کانکتور شبکه</t>
  </si>
  <si>
    <t>پرس کابل شو/ پرس هیدرولیک / انواع پرسهای کابل</t>
  </si>
  <si>
    <t>سیم لخت کن و سیم چین</t>
  </si>
  <si>
    <t>درل شارژی و برقی</t>
  </si>
  <si>
    <t>ترک متر (آچار گشتاور)</t>
  </si>
  <si>
    <t>تراز - متر</t>
  </si>
  <si>
    <t>لایت متر(نور سنج)</t>
  </si>
  <si>
    <t>کولیس دیجیتال</t>
  </si>
  <si>
    <t>سشوار برقی</t>
  </si>
  <si>
    <t>لوازم وایرینگ شامل پرس وایرشو و حوضچه قلع</t>
  </si>
  <si>
    <t>قطب نما</t>
  </si>
  <si>
    <t>ابزارآلات مرتبط با اندازه گیری و ارزیابی تجهیزات نیروگاه</t>
  </si>
  <si>
    <t>دستگاه میگر</t>
  </si>
  <si>
    <t>دوربین حرارتی</t>
  </si>
  <si>
    <t>مولتی متر</t>
  </si>
  <si>
    <t>Solar 300</t>
  </si>
  <si>
    <t>دستگاه تست رله های دیجیتال</t>
  </si>
  <si>
    <t>کمبرند ایمنی کار</t>
  </si>
  <si>
    <t>عینک ایمنی</t>
  </si>
  <si>
    <t>انواع دستکش عایق برق</t>
  </si>
  <si>
    <t>کفش ایمنی</t>
  </si>
  <si>
    <t>کف پوش عایق برق</t>
  </si>
  <si>
    <t>کلاه ایمنی</t>
  </si>
  <si>
    <t>اعلام تملک</t>
  </si>
  <si>
    <t>امتیاز خود اظهاری شده</t>
  </si>
  <si>
    <t>راهنما
حداکثر امتیاز هر آیتم</t>
  </si>
  <si>
    <t>توجه:
- در صورت انتخاب گزینه "دارد" ارائه مستندات مالکیت تجهیز اعم از فاکتور خرید و ... برای کسب امتیاز الزامی است.
- احراز 20 درصد از توان تجهیزاتی در سه بند اول و 50 درصد از توان تجهیزاتی بند چهارم، مشمول امتیاز کامل خواهد شد.</t>
  </si>
  <si>
    <t>آچار پرس یا پرس کانکتور MC4</t>
  </si>
  <si>
    <t>دسته جوش CADWELD</t>
  </si>
  <si>
    <t>دستگاه IV curve</t>
  </si>
  <si>
    <t>سایر رشته های مهندسی</t>
  </si>
  <si>
    <t xml:space="preserve">کارشناس </t>
  </si>
  <si>
    <t>تکنسین</t>
  </si>
  <si>
    <t>نوع همکاری
کارشناس/تکنسین</t>
  </si>
  <si>
    <t>امتیاز نوع همکاری</t>
  </si>
  <si>
    <t>نوع گواهینامه</t>
  </si>
  <si>
    <t>مرتبط (طراحی، نصب و راه اندازی، تعمیر و نگهداری، بهره برداری، مدیریت پروژه)</t>
  </si>
  <si>
    <t>سایر</t>
  </si>
  <si>
    <r>
      <t xml:space="preserve">نام و نام خانودادگی نیروی انسانی متخصص
</t>
    </r>
    <r>
      <rPr>
        <sz val="11"/>
        <color rgb="FF000000"/>
        <rFont val="B Nazanin"/>
        <charset val="178"/>
      </rPr>
      <t>(دوره های: طراحی، نصب و راه اندازی، تعمیر و نگهداری، بهره برداری، مدیریت پروژه)</t>
    </r>
  </si>
  <si>
    <t xml:space="preserve">امتیاز کسب شده از گواهی‌نامه‌ آموزش‌های تخصصی گذارنده شده </t>
  </si>
  <si>
    <t>نام نماینده شرکت:</t>
  </si>
  <si>
    <t>شماره ثابت:</t>
  </si>
  <si>
    <t>شماره همراه:</t>
  </si>
  <si>
    <t>ایمیل:</t>
  </si>
  <si>
    <t>قفل</t>
  </si>
  <si>
    <t>Contractor_Industry_Large</t>
  </si>
  <si>
    <t>صلاحیت ایمنی</t>
  </si>
  <si>
    <t>امتیاز صلاحیت ایمنی</t>
  </si>
  <si>
    <t>امتیاز تعیین شده</t>
  </si>
  <si>
    <t>وضعیت مدرک مربوطه</t>
  </si>
  <si>
    <t>گواهینامه تائید صلاحیت ایمنی وزارت کار و امور اجتماعی معتبر</t>
  </si>
  <si>
    <t>گواهینامه استقرار سیستم HSE معتبر</t>
  </si>
  <si>
    <t>ارائه مستندات بیمه مسئولیت مدنی معتبر برای کارکنان (حداقل 2 پروژه)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</si>
</sst>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3000401]0"/>
    <numFmt numFmtId="165" formatCode="#,##0.0"/>
    <numFmt numFmtId="166" formatCode="_(* #,##0_);_(* \(#,##0\);_(* &quot;-&quot;??_);_(@_)"/>
    <numFmt numFmtId="167" formatCode="0.0"/>
    <numFmt numFmtId="168" formatCode="[$-3000401]0.0"/>
  </numFmts>
  <fonts count="35">
    <font>
      <sz val="11"/>
      <color theme="1"/>
      <name val="Calibri"/>
      <family val="2"/>
      <scheme val="minor"/>
    </font>
    <font>
      <b/>
      <sz val="16"/>
      <color rgb="FF000000"/>
      <name val="B Nazanin"/>
      <charset val="178"/>
    </font>
    <font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2"/>
      <color rgb="FF000000"/>
      <name val="B Nazanin"/>
      <charset val="178"/>
    </font>
    <font>
      <sz val="14"/>
      <color rgb="FF000000"/>
      <name val="B Nazanin"/>
      <charset val="178"/>
    </font>
    <font>
      <sz val="14"/>
      <color rgb="FF000000"/>
      <name val="Calibri"/>
      <family val="2"/>
    </font>
    <font>
      <b/>
      <sz val="12"/>
      <color rgb="FF000000"/>
      <name val="B Nazanin"/>
      <charset val="178"/>
    </font>
    <font>
      <b/>
      <sz val="12"/>
      <color rgb="FF000000"/>
      <name val="BNazanin"/>
    </font>
    <font>
      <b/>
      <sz val="14"/>
      <color theme="1"/>
      <name val="B Nazanin"/>
      <charset val="178"/>
    </font>
    <font>
      <b/>
      <sz val="11"/>
      <color rgb="FF000000"/>
      <name val="B Nazanin"/>
      <charset val="178"/>
    </font>
    <font>
      <b/>
      <sz val="14"/>
      <color rgb="FF000000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1"/>
      <color rgb="FF000000"/>
      <name val="Times New Roman"/>
      <family val="1"/>
    </font>
    <font>
      <sz val="11"/>
      <color rgb="FF000000"/>
      <name val="B Nazanin"/>
      <charset val="178"/>
    </font>
    <font>
      <b/>
      <sz val="11"/>
      <color theme="1"/>
      <name val="B Nazanin"/>
      <charset val="178"/>
    </font>
    <font>
      <sz val="12"/>
      <color theme="1"/>
      <name val="Calibri"/>
      <family val="2"/>
      <scheme val="minor"/>
    </font>
    <font>
      <sz val="14"/>
      <color rgb="FFFF0000"/>
      <name val="B Nazanin"/>
      <charset val="178"/>
    </font>
    <font>
      <b/>
      <sz val="18"/>
      <color theme="1"/>
      <name val="B Nazanin"/>
      <charset val="178"/>
    </font>
    <font>
      <sz val="11"/>
      <color theme="1"/>
      <name val="B Nazanin"/>
      <charset val="178"/>
    </font>
    <font>
      <sz val="10"/>
      <color theme="1"/>
      <name val="Calibri"/>
      <family val="2"/>
      <scheme val="minor"/>
    </font>
    <font>
      <b/>
      <sz val="10"/>
      <color theme="1"/>
      <name val="B Nazanin"/>
      <charset val="178"/>
    </font>
    <font>
      <sz val="14"/>
      <name val="B Nazanin"/>
      <charset val="178"/>
    </font>
    <font>
      <sz val="10"/>
      <color theme="1"/>
      <name val="B Nazanin"/>
      <charset val="178"/>
    </font>
    <font>
      <b/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b/>
      <vertAlign val="subscript"/>
      <sz val="14"/>
      <color rgb="FF000000"/>
      <name val="Times New Roman"/>
      <family val="1"/>
    </font>
    <font>
      <b/>
      <sz val="14"/>
      <name val="B Nazanin"/>
      <charset val="178"/>
    </font>
    <font>
      <b/>
      <sz val="16"/>
      <name val="B Nazanin"/>
      <charset val="178"/>
    </font>
    <font>
      <sz val="12"/>
      <name val="B Nazanin"/>
      <charset val="178"/>
    </font>
    <font>
      <b/>
      <sz val="9"/>
      <color theme="1"/>
      <name val="B Nazanin"/>
      <charset val="178"/>
    </font>
    <font>
      <b/>
      <sz val="10"/>
      <color rgb="FF000000"/>
      <name val="B Nazanin"/>
      <charset val="178"/>
    </font>
    <font>
      <sz val="10"/>
      <color rgb="FF000000"/>
      <name val="B Nazanin"/>
      <charset val="17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4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" xfId="0" applyFont="1" applyFill="1" applyBorder="1" applyProtection="1">
      <protection locked="0"/>
    </xf>
    <xf numFmtId="0" fontId="2" fillId="8" borderId="1" xfId="0" applyFont="1" applyFill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6" fontId="12" fillId="4" borderId="1" xfId="3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 readingOrder="2"/>
    </xf>
    <xf numFmtId="0" fontId="0" fillId="0" borderId="1" xfId="0" applyBorder="1"/>
    <xf numFmtId="2" fontId="0" fillId="0" borderId="0" xfId="0" applyNumberFormat="1"/>
    <xf numFmtId="0" fontId="12" fillId="10" borderId="1" xfId="0" applyFont="1" applyFill="1" applyBorder="1" applyAlignment="1">
      <alignment horizontal="center" vertical="center"/>
    </xf>
    <xf numFmtId="0" fontId="2" fillId="8" borderId="21" xfId="0" applyFont="1" applyFill="1" applyBorder="1" applyAlignment="1" applyProtection="1">
      <alignment horizontal="right"/>
      <protection locked="0"/>
    </xf>
    <xf numFmtId="0" fontId="14" fillId="8" borderId="21" xfId="0" applyFont="1" applyFill="1" applyBorder="1" applyProtection="1">
      <protection locked="0"/>
    </xf>
    <xf numFmtId="166" fontId="2" fillId="4" borderId="1" xfId="1" applyNumberFormat="1" applyFont="1" applyFill="1" applyBorder="1" applyProtection="1">
      <protection locked="0"/>
    </xf>
    <xf numFmtId="166" fontId="2" fillId="4" borderId="21" xfId="1" applyNumberFormat="1" applyFont="1" applyFill="1" applyBorder="1" applyProtection="1">
      <protection locked="0"/>
    </xf>
    <xf numFmtId="166" fontId="2" fillId="4" borderId="1" xfId="1" applyNumberFormat="1" applyFont="1" applyFill="1" applyBorder="1" applyAlignment="1" applyProtection="1">
      <alignment horizontal="center" vertical="center"/>
      <protection locked="0"/>
    </xf>
    <xf numFmtId="166" fontId="2" fillId="4" borderId="24" xfId="1" applyNumberFormat="1" applyFont="1" applyFill="1" applyBorder="1" applyAlignment="1" applyProtection="1">
      <alignment horizontal="center" vertical="center"/>
      <protection locked="0"/>
    </xf>
    <xf numFmtId="0" fontId="21" fillId="4" borderId="21" xfId="0" applyFont="1" applyFill="1" applyBorder="1" applyAlignment="1" applyProtection="1">
      <alignment horizontal="center"/>
      <protection locked="0"/>
    </xf>
    <xf numFmtId="166" fontId="2" fillId="7" borderId="21" xfId="1" applyNumberFormat="1" applyFont="1" applyFill="1" applyBorder="1" applyAlignment="1" applyProtection="1">
      <alignment horizontal="center" vertical="center"/>
    </xf>
    <xf numFmtId="166" fontId="2" fillId="7" borderId="1" xfId="1" applyNumberFormat="1" applyFont="1" applyFill="1" applyBorder="1" applyAlignment="1" applyProtection="1">
      <alignment horizontal="center" vertical="center"/>
    </xf>
    <xf numFmtId="167" fontId="9" fillId="7" borderId="11" xfId="3" applyNumberFormat="1" applyFont="1" applyFill="1" applyBorder="1" applyAlignment="1" applyProtection="1">
      <alignment horizontal="center" vertical="center"/>
    </xf>
    <xf numFmtId="43" fontId="9" fillId="7" borderId="12" xfId="3" applyFont="1" applyFill="1" applyBorder="1" applyAlignment="1" applyProtection="1">
      <alignment vertical="center"/>
    </xf>
    <xf numFmtId="166" fontId="2" fillId="0" borderId="21" xfId="1" applyNumberFormat="1" applyFont="1" applyBorder="1" applyAlignment="1" applyProtection="1">
      <alignment horizontal="center" vertical="center"/>
    </xf>
    <xf numFmtId="166" fontId="2" fillId="0" borderId="1" xfId="1" applyNumberFormat="1" applyFont="1" applyBorder="1" applyAlignment="1" applyProtection="1">
      <alignment horizontal="center" vertical="center"/>
    </xf>
    <xf numFmtId="166" fontId="2" fillId="12" borderId="21" xfId="1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21" xfId="0" applyFont="1" applyFill="1" applyBorder="1" applyAlignment="1" applyProtection="1">
      <alignment wrapText="1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21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" fillId="8" borderId="21" xfId="0" applyFont="1" applyFill="1" applyBorder="1" applyAlignment="1" applyProtection="1">
      <alignment horizontal="right" readingOrder="1"/>
      <protection locked="0"/>
    </xf>
    <xf numFmtId="43" fontId="29" fillId="12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14" fillId="8" borderId="2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9" fontId="0" fillId="0" borderId="1" xfId="0" applyNumberFormat="1" applyBorder="1"/>
    <xf numFmtId="0" fontId="21" fillId="8" borderId="21" xfId="0" applyFont="1" applyFill="1" applyBorder="1" applyAlignment="1" applyProtection="1">
      <alignment horizontal="center" vertical="center" wrapText="1"/>
      <protection locked="0"/>
    </xf>
    <xf numFmtId="0" fontId="21" fillId="8" borderId="2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9" fillId="9" borderId="2" xfId="0" applyFont="1" applyFill="1" applyBorder="1" applyAlignment="1" applyProtection="1">
      <alignment horizontal="center" vertical="center" wrapText="1"/>
    </xf>
    <xf numFmtId="0" fontId="9" fillId="9" borderId="33" xfId="0" applyFont="1" applyFill="1" applyBorder="1" applyAlignment="1" applyProtection="1">
      <alignment horizontal="center" vertical="center" wrapText="1"/>
    </xf>
    <xf numFmtId="0" fontId="9" fillId="9" borderId="34" xfId="0" applyFont="1" applyFill="1" applyBorder="1" applyAlignment="1" applyProtection="1">
      <alignment horizontal="center" vertical="center" wrapText="1"/>
    </xf>
    <xf numFmtId="0" fontId="9" fillId="9" borderId="4" xfId="0" applyFont="1" applyFill="1" applyBorder="1" applyAlignment="1" applyProtection="1">
      <alignment horizontal="center" vertical="center" wrapText="1"/>
    </xf>
    <xf numFmtId="164" fontId="2" fillId="9" borderId="35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 readingOrder="2"/>
    </xf>
    <xf numFmtId="165" fontId="2" fillId="0" borderId="36" xfId="0" applyNumberFormat="1" applyFont="1" applyBorder="1" applyAlignment="1" applyProtection="1">
      <alignment horizontal="center" vertical="center"/>
    </xf>
    <xf numFmtId="3" fontId="2" fillId="0" borderId="6" xfId="0" applyNumberFormat="1" applyFont="1" applyBorder="1" applyAlignment="1" applyProtection="1">
      <alignment horizontal="center" vertical="center"/>
    </xf>
    <xf numFmtId="43" fontId="2" fillId="0" borderId="7" xfId="1" applyFont="1" applyFill="1" applyBorder="1" applyAlignment="1" applyProtection="1">
      <alignment horizontal="center" vertical="center"/>
    </xf>
    <xf numFmtId="164" fontId="2" fillId="9" borderId="1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 readingOrder="2"/>
    </xf>
    <xf numFmtId="165" fontId="2" fillId="0" borderId="31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43" fontId="2" fillId="0" borderId="9" xfId="1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wrapText="1" readingOrder="2"/>
    </xf>
    <xf numFmtId="165" fontId="2" fillId="0" borderId="37" xfId="0" applyNumberFormat="1" applyFont="1" applyBorder="1" applyAlignment="1" applyProtection="1">
      <alignment horizontal="center" vertical="center"/>
    </xf>
    <xf numFmtId="3" fontId="2" fillId="0" borderId="24" xfId="0" applyNumberFormat="1" applyFont="1" applyBorder="1" applyAlignment="1" applyProtection="1">
      <alignment horizontal="center" vertical="center"/>
    </xf>
    <xf numFmtId="167" fontId="9" fillId="11" borderId="33" xfId="1" applyNumberFormat="1" applyFont="1" applyFill="1" applyBorder="1" applyAlignment="1" applyProtection="1">
      <alignment horizontal="center" vertical="center"/>
    </xf>
    <xf numFmtId="1" fontId="9" fillId="11" borderId="33" xfId="1" applyNumberFormat="1" applyFont="1" applyFill="1" applyBorder="1" applyAlignment="1" applyProtection="1">
      <alignment horizontal="center" vertical="center"/>
    </xf>
    <xf numFmtId="43" fontId="9" fillId="11" borderId="38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2" fillId="4" borderId="20" xfId="0" applyFont="1" applyFill="1" applyBorder="1" applyProtection="1">
      <protection locked="0"/>
    </xf>
    <xf numFmtId="0" fontId="3" fillId="0" borderId="0" xfId="0" applyFont="1" applyProtection="1"/>
    <xf numFmtId="0" fontId="2" fillId="0" borderId="21" xfId="0" applyFont="1" applyBorder="1" applyProtection="1"/>
    <xf numFmtId="0" fontId="5" fillId="0" borderId="1" xfId="0" applyFont="1" applyBorder="1" applyAlignment="1" applyProtection="1">
      <alignment horizontal="right" vertical="center" wrapText="1" readingOrder="2"/>
    </xf>
    <xf numFmtId="0" fontId="7" fillId="0" borderId="1" xfId="0" applyFont="1" applyBorder="1" applyProtection="1"/>
    <xf numFmtId="0" fontId="5" fillId="0" borderId="1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readingOrder="2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 readingOrder="2"/>
    </xf>
    <xf numFmtId="0" fontId="7" fillId="3" borderId="6" xfId="0" applyFont="1" applyFill="1" applyBorder="1" applyAlignment="1" applyProtection="1">
      <alignment horizontal="center" vertical="center" wrapText="1" readingOrder="1"/>
    </xf>
    <xf numFmtId="0" fontId="7" fillId="3" borderId="7" xfId="0" applyFont="1" applyFill="1" applyBorder="1" applyAlignment="1" applyProtection="1">
      <alignment horizontal="center" vertical="center" wrapText="1" readingOrder="1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2" fontId="11" fillId="0" borderId="8" xfId="0" applyNumberFormat="1" applyFont="1" applyFill="1" applyBorder="1" applyAlignment="1" applyProtection="1">
      <alignment horizontal="center" vertical="center" wrapText="1" readingOrder="2"/>
    </xf>
    <xf numFmtId="0" fontId="5" fillId="5" borderId="1" xfId="0" applyFont="1" applyFill="1" applyBorder="1" applyAlignment="1" applyProtection="1">
      <alignment horizontal="center" vertical="center" wrapText="1" readingOrder="2"/>
    </xf>
    <xf numFmtId="0" fontId="5" fillId="5" borderId="9" xfId="0" applyFont="1" applyFill="1" applyBorder="1" applyAlignment="1" applyProtection="1">
      <alignment horizontal="center" vertical="center" wrapText="1" readingOrder="2"/>
    </xf>
    <xf numFmtId="0" fontId="2" fillId="0" borderId="8" xfId="0" applyFont="1" applyBorder="1" applyAlignment="1" applyProtection="1">
      <alignment horizontal="center" vertical="center"/>
    </xf>
    <xf numFmtId="9" fontId="2" fillId="0" borderId="9" xfId="0" applyNumberFormat="1" applyFont="1" applyBorder="1" applyAlignment="1" applyProtection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center" wrapText="1" readingOrder="1"/>
    </xf>
    <xf numFmtId="0" fontId="2" fillId="0" borderId="10" xfId="0" applyFont="1" applyBorder="1" applyAlignment="1" applyProtection="1">
      <alignment horizontal="center" vertical="center"/>
    </xf>
    <xf numFmtId="9" fontId="2" fillId="0" borderId="12" xfId="0" applyNumberFormat="1" applyFont="1" applyBorder="1" applyAlignment="1" applyProtection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 wrapText="1" readingOrder="1"/>
    </xf>
    <xf numFmtId="0" fontId="5" fillId="5" borderId="11" xfId="0" applyFont="1" applyFill="1" applyBorder="1" applyAlignment="1" applyProtection="1">
      <alignment horizontal="center" vertical="center" wrapText="1" readingOrder="2"/>
    </xf>
    <xf numFmtId="0" fontId="5" fillId="5" borderId="12" xfId="0" applyFont="1" applyFill="1" applyBorder="1" applyAlignment="1" applyProtection="1">
      <alignment horizontal="center" vertical="center" wrapText="1" readingOrder="2"/>
    </xf>
    <xf numFmtId="0" fontId="7" fillId="3" borderId="56" xfId="0" applyFont="1" applyFill="1" applyBorder="1" applyAlignment="1" applyProtection="1">
      <alignment horizontal="center" vertical="center" wrapText="1" readingOrder="2"/>
    </xf>
    <xf numFmtId="0" fontId="7" fillId="3" borderId="57" xfId="0" applyFont="1" applyFill="1" applyBorder="1" applyAlignment="1" applyProtection="1">
      <alignment horizontal="center" vertical="center" wrapText="1" readingOrder="1"/>
    </xf>
    <xf numFmtId="0" fontId="7" fillId="3" borderId="58" xfId="0" applyFont="1" applyFill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2"/>
    </xf>
    <xf numFmtId="0" fontId="14" fillId="0" borderId="1" xfId="0" applyFont="1" applyBorder="1" applyAlignment="1" applyProtection="1">
      <alignment horizontal="center" vertical="center" wrapText="1" readingOrder="2"/>
    </xf>
    <xf numFmtId="0" fontId="14" fillId="0" borderId="9" xfId="0" applyFont="1" applyBorder="1" applyAlignment="1" applyProtection="1">
      <alignment horizontal="center" vertical="center" wrapText="1" readingOrder="2"/>
    </xf>
    <xf numFmtId="0" fontId="24" fillId="0" borderId="8" xfId="0" applyFont="1" applyBorder="1" applyAlignment="1" applyProtection="1">
      <alignment horizontal="center" vertical="center"/>
    </xf>
    <xf numFmtId="0" fontId="5" fillId="5" borderId="60" xfId="0" applyFont="1" applyFill="1" applyBorder="1" applyAlignment="1" applyProtection="1">
      <alignment horizontal="center" vertical="center" wrapText="1" readingOrder="2"/>
    </xf>
    <xf numFmtId="0" fontId="24" fillId="0" borderId="10" xfId="0" applyFont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 applyProtection="1">
      <alignment horizontal="center" vertical="center" wrapText="1" readingOrder="2"/>
    </xf>
    <xf numFmtId="0" fontId="9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/>
    </xf>
    <xf numFmtId="0" fontId="0" fillId="0" borderId="3" xfId="0" applyBorder="1" applyProtection="1"/>
    <xf numFmtId="0" fontId="2" fillId="12" borderId="20" xfId="0" applyFont="1" applyFill="1" applyBorder="1" applyAlignment="1" applyProtection="1">
      <alignment horizontal="center"/>
    </xf>
    <xf numFmtId="0" fontId="10" fillId="2" borderId="38" xfId="0" applyFont="1" applyFill="1" applyBorder="1" applyAlignment="1" applyProtection="1">
      <alignment horizontal="center" vertical="center" wrapText="1" readingOrder="2"/>
    </xf>
    <xf numFmtId="0" fontId="2" fillId="0" borderId="32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vertical="center"/>
    </xf>
    <xf numFmtId="0" fontId="2" fillId="12" borderId="38" xfId="0" applyFont="1" applyFill="1" applyBorder="1" applyAlignment="1" applyProtection="1">
      <alignment horizontal="center" vertical="center"/>
    </xf>
    <xf numFmtId="0" fontId="2" fillId="12" borderId="44" xfId="0" applyFont="1" applyFill="1" applyBorder="1" applyAlignment="1" applyProtection="1">
      <alignment horizontal="center"/>
    </xf>
    <xf numFmtId="0" fontId="2" fillId="12" borderId="46" xfId="0" applyFont="1" applyFill="1" applyBorder="1" applyAlignment="1" applyProtection="1">
      <alignment horizontal="center"/>
    </xf>
    <xf numFmtId="0" fontId="2" fillId="0" borderId="46" xfId="0" applyNumberFormat="1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center" vertical="center"/>
    </xf>
    <xf numFmtId="0" fontId="9" fillId="11" borderId="2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 readingOrder="2"/>
    </xf>
    <xf numFmtId="0" fontId="11" fillId="3" borderId="25" xfId="0" applyFont="1" applyFill="1" applyBorder="1" applyAlignment="1" applyProtection="1">
      <alignment horizontal="center" vertical="center" wrapText="1" readingOrder="2"/>
    </xf>
    <xf numFmtId="0" fontId="7" fillId="3" borderId="17" xfId="0" applyFont="1" applyFill="1" applyBorder="1" applyAlignment="1" applyProtection="1">
      <alignment horizontal="center" vertical="center" wrapText="1" readingOrder="2"/>
    </xf>
    <xf numFmtId="0" fontId="18" fillId="3" borderId="15" xfId="0" applyFont="1" applyFill="1" applyBorder="1" applyAlignment="1" applyProtection="1">
      <alignment vertical="center" wrapText="1"/>
    </xf>
    <xf numFmtId="0" fontId="10" fillId="5" borderId="15" xfId="0" applyFont="1" applyFill="1" applyBorder="1" applyAlignment="1" applyProtection="1">
      <alignment horizontal="center" vertical="center" wrapText="1" readingOrder="2"/>
    </xf>
    <xf numFmtId="0" fontId="10" fillId="0" borderId="17" xfId="0" applyFont="1" applyBorder="1" applyAlignment="1" applyProtection="1">
      <alignment horizontal="center" vertical="center" wrapText="1" readingOrder="2"/>
    </xf>
    <xf numFmtId="0" fontId="16" fillId="0" borderId="17" xfId="0" applyFont="1" applyBorder="1" applyAlignment="1" applyProtection="1">
      <alignment horizontal="center" vertical="center" wrapText="1" readingOrder="2"/>
    </xf>
    <xf numFmtId="0" fontId="16" fillId="0" borderId="15" xfId="0" applyFont="1" applyBorder="1" applyAlignment="1" applyProtection="1">
      <alignment horizontal="center" vertical="center" wrapText="1" readingOrder="2"/>
    </xf>
    <xf numFmtId="0" fontId="10" fillId="0" borderId="17" xfId="0" applyFont="1" applyBorder="1" applyAlignment="1" applyProtection="1">
      <alignment horizontal="justify" vertical="center" wrapText="1" readingOrder="2"/>
    </xf>
    <xf numFmtId="0" fontId="9" fillId="2" borderId="33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 readingOrder="2"/>
    </xf>
    <xf numFmtId="0" fontId="10" fillId="0" borderId="1" xfId="0" applyFont="1" applyBorder="1" applyAlignment="1" applyProtection="1">
      <alignment horizontal="right" vertical="center" wrapText="1" readingOrder="2"/>
    </xf>
    <xf numFmtId="0" fontId="9" fillId="0" borderId="21" xfId="0" applyFont="1" applyBorder="1" applyProtection="1"/>
    <xf numFmtId="0" fontId="2" fillId="0" borderId="24" xfId="0" applyFont="1" applyBorder="1" applyProtection="1"/>
    <xf numFmtId="0" fontId="2" fillId="0" borderId="4" xfId="0" applyFont="1" applyBorder="1" applyAlignment="1" applyProtection="1">
      <alignment horizontal="center"/>
    </xf>
    <xf numFmtId="0" fontId="9" fillId="11" borderId="20" xfId="0" applyFont="1" applyFill="1" applyBorder="1" applyAlignment="1" applyProtection="1">
      <alignment horizontal="center"/>
    </xf>
    <xf numFmtId="0" fontId="2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Protection="1"/>
    <xf numFmtId="0" fontId="2" fillId="0" borderId="0" xfId="2" applyFont="1" applyAlignment="1" applyProtection="1">
      <alignment horizontal="right" vertical="center"/>
    </xf>
    <xf numFmtId="0" fontId="9" fillId="7" borderId="0" xfId="2" applyFont="1" applyFill="1" applyAlignment="1" applyProtection="1">
      <alignment horizontal="center" vertical="center" wrapText="1"/>
    </xf>
    <xf numFmtId="164" fontId="2" fillId="7" borderId="49" xfId="2" applyNumberFormat="1" applyFont="1" applyFill="1" applyBorder="1" applyAlignment="1" applyProtection="1">
      <alignment horizontal="center" vertical="center"/>
    </xf>
    <xf numFmtId="0" fontId="14" fillId="7" borderId="21" xfId="2" applyFont="1" applyFill="1" applyBorder="1" applyAlignment="1" applyProtection="1">
      <alignment horizontal="right" vertical="center" wrapText="1"/>
    </xf>
    <xf numFmtId="0" fontId="2" fillId="7" borderId="47" xfId="2" applyFont="1" applyFill="1" applyBorder="1" applyAlignment="1" applyProtection="1">
      <alignment horizontal="center" vertical="center"/>
    </xf>
    <xf numFmtId="164" fontId="2" fillId="7" borderId="8" xfId="2" applyNumberFormat="1" applyFont="1" applyFill="1" applyBorder="1" applyAlignment="1" applyProtection="1">
      <alignment horizontal="center" vertical="center"/>
    </xf>
    <xf numFmtId="0" fontId="31" fillId="7" borderId="1" xfId="2" applyFont="1" applyFill="1" applyBorder="1" applyAlignment="1" applyProtection="1">
      <alignment horizontal="right" vertical="center" wrapText="1"/>
    </xf>
    <xf numFmtId="0" fontId="2" fillId="7" borderId="9" xfId="2" applyFont="1" applyFill="1" applyBorder="1" applyAlignment="1" applyProtection="1">
      <alignment vertical="center"/>
    </xf>
    <xf numFmtId="0" fontId="14" fillId="7" borderId="1" xfId="2" applyFont="1" applyFill="1" applyBorder="1" applyAlignment="1" applyProtection="1">
      <alignment horizontal="right" vertical="center" wrapText="1"/>
    </xf>
    <xf numFmtId="0" fontId="2" fillId="7" borderId="9" xfId="2" applyFont="1" applyFill="1" applyBorder="1" applyAlignment="1" applyProtection="1">
      <alignment horizontal="center" vertical="center"/>
    </xf>
    <xf numFmtId="0" fontId="18" fillId="0" borderId="0" xfId="2" applyProtection="1"/>
    <xf numFmtId="0" fontId="2" fillId="11" borderId="20" xfId="0" applyFont="1" applyFill="1" applyBorder="1" applyAlignment="1" applyProtection="1">
      <alignment horizontal="center"/>
    </xf>
    <xf numFmtId="168" fontId="9" fillId="11" borderId="20" xfId="2" applyNumberFormat="1" applyFont="1" applyFill="1" applyBorder="1" applyAlignment="1" applyProtection="1">
      <alignment horizontal="center" vertical="center"/>
    </xf>
    <xf numFmtId="0" fontId="2" fillId="2" borderId="39" xfId="2" applyFont="1" applyFill="1" applyBorder="1" applyAlignment="1" applyProtection="1">
      <alignment horizontal="center" vertical="center"/>
    </xf>
    <xf numFmtId="0" fontId="2" fillId="2" borderId="33" xfId="2" applyFont="1" applyFill="1" applyBorder="1" applyAlignment="1" applyProtection="1">
      <alignment horizontal="center"/>
    </xf>
    <xf numFmtId="0" fontId="2" fillId="2" borderId="33" xfId="2" applyFont="1" applyFill="1" applyBorder="1" applyAlignment="1" applyProtection="1">
      <alignment horizontal="center" vertical="center"/>
    </xf>
    <xf numFmtId="0" fontId="2" fillId="2" borderId="38" xfId="2" applyFont="1" applyFill="1" applyBorder="1" applyAlignment="1" applyProtection="1">
      <alignment horizontal="center" vertical="center"/>
    </xf>
    <xf numFmtId="0" fontId="2" fillId="0" borderId="21" xfId="2" applyFont="1" applyBorder="1" applyAlignment="1" applyProtection="1">
      <alignment horizontal="center"/>
    </xf>
    <xf numFmtId="2" fontId="2" fillId="0" borderId="21" xfId="2" applyNumberFormat="1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/>
    </xf>
    <xf numFmtId="2" fontId="2" fillId="0" borderId="1" xfId="2" applyNumberFormat="1" applyFont="1" applyBorder="1" applyAlignment="1" applyProtection="1">
      <alignment horizontal="center" vertical="center"/>
    </xf>
    <xf numFmtId="0" fontId="2" fillId="0" borderId="18" xfId="2" applyFont="1" applyBorder="1" applyAlignment="1" applyProtection="1">
      <alignment horizontal="center"/>
    </xf>
    <xf numFmtId="0" fontId="2" fillId="0" borderId="19" xfId="2" applyFont="1" applyBorder="1" applyProtection="1"/>
    <xf numFmtId="2" fontId="2" fillId="0" borderId="31" xfId="2" applyNumberFormat="1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0" fontId="21" fillId="0" borderId="0" xfId="0" applyFont="1" applyProtection="1"/>
    <xf numFmtId="0" fontId="25" fillId="0" borderId="0" xfId="0" applyFont="1" applyAlignment="1" applyProtection="1">
      <alignment wrapText="1"/>
    </xf>
    <xf numFmtId="0" fontId="23" fillId="2" borderId="1" xfId="0" applyFont="1" applyFill="1" applyBorder="1" applyAlignment="1" applyProtection="1">
      <alignment horizontal="center" vertical="center" wrapText="1" readingOrder="2"/>
    </xf>
    <xf numFmtId="0" fontId="32" fillId="2" borderId="1" xfId="0" applyFont="1" applyFill="1" applyBorder="1" applyAlignment="1" applyProtection="1">
      <alignment horizontal="center" vertical="center" wrapText="1" readingOrder="2"/>
    </xf>
    <xf numFmtId="0" fontId="21" fillId="0" borderId="0" xfId="0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 readingOrder="2"/>
    </xf>
    <xf numFmtId="0" fontId="12" fillId="0" borderId="1" xfId="0" applyFont="1" applyFill="1" applyBorder="1" applyAlignment="1" applyProtection="1">
      <alignment horizontal="center" vertical="center" wrapText="1" readingOrder="2"/>
    </xf>
    <xf numFmtId="0" fontId="12" fillId="0" borderId="24" xfId="0" applyFont="1" applyFill="1" applyBorder="1" applyAlignment="1" applyProtection="1">
      <alignment horizontal="center" vertical="center" wrapText="1" readingOrder="2"/>
    </xf>
    <xf numFmtId="0" fontId="21" fillId="0" borderId="39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11" borderId="54" xfId="0" applyFont="1" applyFill="1" applyBorder="1" applyAlignment="1" applyProtection="1">
      <alignment horizontal="center"/>
    </xf>
    <xf numFmtId="0" fontId="12" fillId="11" borderId="60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 wrapText="1" readingOrder="2"/>
      <protection locked="0"/>
    </xf>
    <xf numFmtId="0" fontId="12" fillId="8" borderId="1" xfId="0" applyFont="1" applyFill="1" applyBorder="1" applyAlignment="1" applyProtection="1">
      <alignment horizontal="center" vertical="center" wrapText="1" readingOrder="2"/>
      <protection locked="0"/>
    </xf>
    <xf numFmtId="0" fontId="12" fillId="8" borderId="24" xfId="0" applyFont="1" applyFill="1" applyBorder="1" applyAlignment="1" applyProtection="1">
      <alignment horizontal="center" vertical="center" wrapText="1" readingOrder="2"/>
      <protection locked="0"/>
    </xf>
    <xf numFmtId="0" fontId="33" fillId="3" borderId="39" xfId="0" applyFont="1" applyFill="1" applyBorder="1" applyAlignment="1" applyProtection="1">
      <alignment horizontal="center" vertical="center" readingOrder="2"/>
    </xf>
    <xf numFmtId="0" fontId="10" fillId="3" borderId="33" xfId="0" applyFont="1" applyFill="1" applyBorder="1" applyAlignment="1" applyProtection="1">
      <alignment horizontal="center" vertical="center" readingOrder="2"/>
    </xf>
    <xf numFmtId="0" fontId="17" fillId="3" borderId="33" xfId="0" applyFont="1" applyFill="1" applyBorder="1" applyAlignment="1" applyProtection="1">
      <alignment horizontal="center" vertical="center" wrapText="1" readingOrder="2"/>
    </xf>
    <xf numFmtId="0" fontId="10" fillId="3" borderId="38" xfId="0" applyFont="1" applyFill="1" applyBorder="1" applyAlignment="1" applyProtection="1">
      <alignment horizontal="center" vertical="center" wrapText="1" readingOrder="2"/>
    </xf>
    <xf numFmtId="0" fontId="16" fillId="0" borderId="61" xfId="0" applyFont="1" applyBorder="1" applyAlignment="1" applyProtection="1">
      <alignment horizontal="center" vertical="center" readingOrder="1"/>
    </xf>
    <xf numFmtId="0" fontId="16" fillId="0" borderId="21" xfId="0" applyFont="1" applyBorder="1" applyAlignment="1" applyProtection="1">
      <alignment horizontal="center" vertical="center" readingOrder="2"/>
    </xf>
    <xf numFmtId="0" fontId="16" fillId="0" borderId="8" xfId="0" applyFont="1" applyBorder="1" applyAlignment="1" applyProtection="1">
      <alignment horizontal="center" vertical="center" readingOrder="1"/>
    </xf>
    <xf numFmtId="0" fontId="16" fillId="0" borderId="1" xfId="0" applyFont="1" applyBorder="1" applyAlignment="1" applyProtection="1">
      <alignment horizontal="center" vertical="center" readingOrder="2"/>
    </xf>
    <xf numFmtId="0" fontId="16" fillId="0" borderId="1" xfId="0" applyFont="1" applyBorder="1" applyAlignment="1" applyProtection="1">
      <alignment horizontal="center" vertical="center" wrapText="1" readingOrder="2"/>
    </xf>
    <xf numFmtId="0" fontId="16" fillId="0" borderId="62" xfId="0" applyFont="1" applyBorder="1" applyAlignment="1" applyProtection="1">
      <alignment horizontal="center" vertical="center" readingOrder="1"/>
    </xf>
    <xf numFmtId="0" fontId="16" fillId="0" borderId="24" xfId="0" applyFont="1" applyBorder="1" applyAlignment="1" applyProtection="1">
      <alignment horizontal="center" vertical="center" readingOrder="2"/>
    </xf>
    <xf numFmtId="0" fontId="16" fillId="0" borderId="10" xfId="0" applyFont="1" applyBorder="1" applyAlignment="1" applyProtection="1">
      <alignment horizontal="center" vertical="center" readingOrder="1"/>
    </xf>
    <xf numFmtId="0" fontId="16" fillId="0" borderId="11" xfId="0" applyFont="1" applyBorder="1" applyAlignment="1" applyProtection="1">
      <alignment horizontal="center" vertical="center" wrapText="1" readingOrder="2"/>
    </xf>
    <xf numFmtId="0" fontId="14" fillId="0" borderId="39" xfId="0" applyFont="1" applyBorder="1" applyAlignment="1" applyProtection="1">
      <alignment horizontal="center" vertical="center"/>
    </xf>
    <xf numFmtId="1" fontId="12" fillId="0" borderId="38" xfId="0" applyNumberFormat="1" applyFont="1" applyBorder="1" applyAlignment="1" applyProtection="1">
      <alignment horizontal="center" vertical="center"/>
    </xf>
    <xf numFmtId="0" fontId="34" fillId="8" borderId="21" xfId="0" applyFont="1" applyFill="1" applyBorder="1" applyAlignment="1" applyProtection="1">
      <alignment horizontal="center" vertical="center" readingOrder="2"/>
      <protection locked="0"/>
    </xf>
    <xf numFmtId="0" fontId="34" fillId="8" borderId="1" xfId="0" applyFont="1" applyFill="1" applyBorder="1" applyAlignment="1" applyProtection="1">
      <alignment horizontal="center" vertical="center" readingOrder="2"/>
      <protection locked="0"/>
    </xf>
    <xf numFmtId="0" fontId="34" fillId="8" borderId="1" xfId="0" applyFont="1" applyFill="1" applyBorder="1" applyAlignment="1" applyProtection="1">
      <alignment horizontal="center" vertical="center" wrapText="1" readingOrder="2"/>
      <protection locked="0"/>
    </xf>
    <xf numFmtId="0" fontId="34" fillId="8" borderId="24" xfId="0" applyFont="1" applyFill="1" applyBorder="1" applyAlignment="1" applyProtection="1">
      <alignment horizontal="center" vertical="center" readingOrder="2"/>
      <protection locked="0"/>
    </xf>
    <xf numFmtId="0" fontId="34" fillId="8" borderId="11" xfId="0" applyFont="1" applyFill="1" applyBorder="1" applyAlignment="1" applyProtection="1">
      <alignment horizontal="center" vertical="center" wrapText="1" readingOrder="2"/>
      <protection locked="0"/>
    </xf>
    <xf numFmtId="0" fontId="22" fillId="0" borderId="0" xfId="0" applyFont="1" applyProtection="1"/>
    <xf numFmtId="0" fontId="17" fillId="2" borderId="39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21" fillId="2" borderId="21" xfId="0" applyFont="1" applyFill="1" applyBorder="1" applyAlignment="1" applyProtection="1">
      <alignment horizontal="center"/>
    </xf>
    <xf numFmtId="0" fontId="21" fillId="0" borderId="21" xfId="0" applyFont="1" applyBorder="1" applyAlignment="1" applyProtection="1">
      <alignment horizontal="center"/>
    </xf>
    <xf numFmtId="167" fontId="21" fillId="0" borderId="21" xfId="0" applyNumberFormat="1" applyFont="1" applyBorder="1" applyAlignment="1" applyProtection="1">
      <alignment horizontal="center"/>
    </xf>
    <xf numFmtId="0" fontId="21" fillId="2" borderId="1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1" fontId="12" fillId="12" borderId="1" xfId="0" applyNumberFormat="1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center" wrapText="1" readingOrder="2"/>
    </xf>
    <xf numFmtId="0" fontId="5" fillId="2" borderId="1" xfId="0" applyFont="1" applyFill="1" applyBorder="1" applyAlignment="1" applyProtection="1">
      <alignment horizontal="center" vertical="center" readingOrder="2"/>
    </xf>
    <xf numFmtId="0" fontId="4" fillId="0" borderId="1" xfId="0" applyFont="1" applyBorder="1" applyAlignment="1" applyProtection="1">
      <alignment horizontal="center" vertical="center" readingOrder="1"/>
    </xf>
    <xf numFmtId="0" fontId="4" fillId="0" borderId="1" xfId="0" applyFont="1" applyBorder="1" applyAlignment="1" applyProtection="1">
      <alignment horizontal="center" vertical="center" wrapText="1" readingOrder="2"/>
    </xf>
    <xf numFmtId="0" fontId="7" fillId="0" borderId="1" xfId="0" applyFont="1" applyBorder="1" applyAlignment="1" applyProtection="1">
      <alignment horizontal="center" vertical="center" wrapText="1" readingOrder="2"/>
    </xf>
    <xf numFmtId="0" fontId="5" fillId="0" borderId="1" xfId="0" applyFont="1" applyFill="1" applyBorder="1" applyAlignment="1" applyProtection="1">
      <alignment horizontal="center" vertical="center" readingOrder="1"/>
    </xf>
    <xf numFmtId="1" fontId="2" fillId="12" borderId="44" xfId="0" applyNumberFormat="1" applyFont="1" applyFill="1" applyBorder="1" applyAlignment="1" applyProtection="1">
      <alignment horizontal="center"/>
    </xf>
    <xf numFmtId="1" fontId="2" fillId="0" borderId="46" xfId="0" applyNumberFormat="1" applyFont="1" applyBorder="1" applyAlignment="1" applyProtection="1">
      <alignment horizontal="center"/>
    </xf>
    <xf numFmtId="0" fontId="22" fillId="4" borderId="1" xfId="0" applyFont="1" applyFill="1" applyBorder="1" applyAlignment="1" applyProtection="1">
      <alignment vertical="center" wrapText="1"/>
      <protection locked="0"/>
    </xf>
    <xf numFmtId="0" fontId="0" fillId="4" borderId="14" xfId="0" applyFill="1" applyBorder="1"/>
    <xf numFmtId="0" fontId="0" fillId="4" borderId="15" xfId="0" applyFill="1" applyBorder="1"/>
    <xf numFmtId="0" fontId="2" fillId="4" borderId="18" xfId="0" applyFont="1" applyFill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/>
    </xf>
    <xf numFmtId="0" fontId="9" fillId="0" borderId="53" xfId="0" applyFont="1" applyBorder="1" applyAlignment="1" applyProtection="1">
      <alignment horizontal="center"/>
    </xf>
    <xf numFmtId="0" fontId="10" fillId="2" borderId="40" xfId="0" applyFont="1" applyFill="1" applyBorder="1" applyAlignment="1" applyProtection="1">
      <alignment horizontal="center" vertical="center" wrapText="1" readingOrder="2"/>
    </xf>
    <xf numFmtId="0" fontId="2" fillId="4" borderId="42" xfId="0" applyFont="1" applyFill="1" applyBorder="1" applyAlignment="1" applyProtection="1">
      <alignment horizontal="center" wrapText="1"/>
      <protection locked="0"/>
    </xf>
    <xf numFmtId="0" fontId="2" fillId="4" borderId="41" xfId="0" applyFont="1" applyFill="1" applyBorder="1" applyAlignment="1" applyProtection="1">
      <alignment horizontal="center" wrapText="1"/>
      <protection locked="0"/>
    </xf>
    <xf numFmtId="0" fontId="21" fillId="8" borderId="43" xfId="0" applyFont="1" applyFill="1" applyBorder="1" applyAlignment="1" applyProtection="1">
      <alignment horizontal="center" vertical="center" wrapText="1"/>
      <protection locked="0"/>
    </xf>
    <xf numFmtId="0" fontId="21" fillId="8" borderId="18" xfId="0" applyFont="1" applyFill="1" applyBorder="1" applyAlignment="1" applyProtection="1">
      <alignment horizontal="center" vertical="center" wrapText="1"/>
      <protection locked="0"/>
    </xf>
    <xf numFmtId="0" fontId="12" fillId="2" borderId="39" xfId="2" applyFont="1" applyFill="1" applyBorder="1" applyAlignment="1" applyProtection="1">
      <alignment horizontal="center" vertical="center" wrapText="1"/>
    </xf>
    <xf numFmtId="0" fontId="12" fillId="2" borderId="33" xfId="2" applyFont="1" applyFill="1" applyBorder="1" applyAlignment="1" applyProtection="1">
      <alignment horizontal="center" vertical="center" wrapText="1"/>
    </xf>
    <xf numFmtId="0" fontId="12" fillId="2" borderId="38" xfId="2" applyFont="1" applyFill="1" applyBorder="1" applyAlignment="1" applyProtection="1">
      <alignment horizontal="center" vertical="center" wrapText="1"/>
    </xf>
    <xf numFmtId="0" fontId="21" fillId="8" borderId="42" xfId="0" applyFont="1" applyFill="1" applyBorder="1" applyAlignment="1" applyProtection="1">
      <alignment horizontal="center" vertical="center" wrapText="1"/>
      <protection locked="0"/>
    </xf>
    <xf numFmtId="0" fontId="12" fillId="3" borderId="39" xfId="0" applyFont="1" applyFill="1" applyBorder="1" applyAlignment="1" applyProtection="1">
      <alignment horizontal="center" vertical="center" readingOrder="2"/>
    </xf>
    <xf numFmtId="0" fontId="12" fillId="3" borderId="33" xfId="0" applyFont="1" applyFill="1" applyBorder="1" applyAlignment="1" applyProtection="1">
      <alignment horizontal="center" vertical="center" readingOrder="2"/>
    </xf>
    <xf numFmtId="0" fontId="12" fillId="3" borderId="33" xfId="0" applyFont="1" applyFill="1" applyBorder="1" applyAlignment="1" applyProtection="1">
      <alignment horizontal="center" vertical="center" wrapText="1" readingOrder="2"/>
    </xf>
    <xf numFmtId="0" fontId="12" fillId="3" borderId="40" xfId="0" applyFont="1" applyFill="1" applyBorder="1" applyAlignment="1" applyProtection="1">
      <alignment horizontal="center" vertical="center" wrapText="1" readingOrder="2"/>
    </xf>
    <xf numFmtId="0" fontId="12" fillId="3" borderId="20" xfId="0" applyFont="1" applyFill="1" applyBorder="1" applyAlignment="1" applyProtection="1">
      <alignment horizontal="center" vertical="center" wrapText="1" readingOrder="2"/>
    </xf>
    <xf numFmtId="0" fontId="14" fillId="0" borderId="21" xfId="0" applyFont="1" applyBorder="1" applyAlignment="1" applyProtection="1">
      <alignment horizontal="center" vertical="center" readingOrder="2"/>
    </xf>
    <xf numFmtId="0" fontId="14" fillId="0" borderId="21" xfId="0" applyFont="1" applyBorder="1" applyAlignment="1" applyProtection="1">
      <alignment horizontal="right" vertical="center" wrapText="1" readingOrder="2"/>
    </xf>
    <xf numFmtId="0" fontId="2" fillId="0" borderId="1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readingOrder="2"/>
    </xf>
    <xf numFmtId="0" fontId="14" fillId="0" borderId="1" xfId="0" applyFont="1" applyBorder="1" applyAlignment="1" applyProtection="1">
      <alignment horizontal="right" vertical="center" wrapText="1" readingOrder="2"/>
    </xf>
    <xf numFmtId="0" fontId="2" fillId="0" borderId="4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readingOrder="2"/>
    </xf>
    <xf numFmtId="0" fontId="14" fillId="0" borderId="0" xfId="0" applyFont="1" applyBorder="1" applyAlignment="1" applyProtection="1">
      <alignment horizontal="right" vertical="center" wrapText="1" readingOrder="2"/>
    </xf>
    <xf numFmtId="0" fontId="21" fillId="0" borderId="39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</xf>
    <xf numFmtId="0" fontId="9" fillId="11" borderId="54" xfId="0" applyFont="1" applyFill="1" applyBorder="1" applyAlignment="1" applyProtection="1">
      <alignment horizontal="center" wrapText="1"/>
    </xf>
    <xf numFmtId="0" fontId="3" fillId="11" borderId="15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9" fillId="11" borderId="2" xfId="0" applyFont="1" applyFill="1" applyBorder="1" applyAlignment="1" applyProtection="1">
      <alignment horizontal="center" vertical="center"/>
    </xf>
    <xf numFmtId="0" fontId="9" fillId="11" borderId="34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right" vertical="center" wrapText="1"/>
    </xf>
    <xf numFmtId="0" fontId="9" fillId="0" borderId="26" xfId="0" applyFont="1" applyBorder="1" applyAlignment="1" applyProtection="1">
      <alignment horizontal="right" vertical="center" wrapText="1"/>
    </xf>
    <xf numFmtId="0" fontId="9" fillId="0" borderId="28" xfId="0" applyFont="1" applyBorder="1" applyAlignment="1" applyProtection="1">
      <alignment horizontal="right" vertical="center" wrapText="1"/>
    </xf>
    <xf numFmtId="0" fontId="9" fillId="0" borderId="29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30" xfId="0" applyFont="1" applyBorder="1" applyAlignment="1" applyProtection="1">
      <alignment horizontal="right" vertical="center" wrapText="1"/>
    </xf>
    <xf numFmtId="0" fontId="9" fillId="0" borderId="17" xfId="0" applyFont="1" applyBorder="1" applyAlignment="1" applyProtection="1">
      <alignment horizontal="right" vertical="center" wrapText="1"/>
    </xf>
    <xf numFmtId="0" fontId="9" fillId="0" borderId="23" xfId="0" applyFont="1" applyBorder="1" applyAlignment="1" applyProtection="1">
      <alignment horizontal="right" vertical="center" wrapText="1"/>
    </xf>
    <xf numFmtId="0" fontId="9" fillId="0" borderId="27" xfId="0" applyFont="1" applyBorder="1" applyAlignment="1" applyProtection="1">
      <alignment horizontal="right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wrapText="1"/>
      <protection locked="0"/>
    </xf>
    <xf numFmtId="0" fontId="11" fillId="6" borderId="16" xfId="0" applyFont="1" applyFill="1" applyBorder="1" applyAlignment="1" applyProtection="1">
      <alignment horizontal="center" vertical="center"/>
    </xf>
    <xf numFmtId="0" fontId="11" fillId="6" borderId="26" xfId="0" applyFont="1" applyFill="1" applyBorder="1" applyAlignment="1" applyProtection="1">
      <alignment horizontal="center" vertical="center"/>
    </xf>
    <xf numFmtId="0" fontId="11" fillId="6" borderId="28" xfId="0" applyFont="1" applyFill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 wrapText="1" readingOrder="2"/>
    </xf>
    <xf numFmtId="0" fontId="11" fillId="0" borderId="23" xfId="0" applyFont="1" applyBorder="1" applyAlignment="1" applyProtection="1">
      <alignment horizontal="center" vertical="center" wrapText="1" readingOrder="2"/>
    </xf>
    <xf numFmtId="0" fontId="11" fillId="0" borderId="59" xfId="0" applyFont="1" applyBorder="1" applyAlignment="1" applyProtection="1">
      <alignment horizontal="center" vertical="center" wrapText="1" readingOrder="2"/>
    </xf>
    <xf numFmtId="0" fontId="9" fillId="6" borderId="2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center"/>
    </xf>
    <xf numFmtId="0" fontId="11" fillId="6" borderId="2" xfId="0" applyFont="1" applyFill="1" applyBorder="1" applyAlignment="1" applyProtection="1">
      <alignment horizontal="center"/>
    </xf>
    <xf numFmtId="0" fontId="11" fillId="6" borderId="3" xfId="0" applyFont="1" applyFill="1" applyBorder="1" applyAlignment="1" applyProtection="1">
      <alignment horizontal="center"/>
    </xf>
    <xf numFmtId="0" fontId="11" fillId="6" borderId="4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16" fontId="2" fillId="0" borderId="5" xfId="0" applyNumberFormat="1" applyFont="1" applyBorder="1" applyAlignment="1" applyProtection="1">
      <alignment horizontal="center"/>
    </xf>
    <xf numFmtId="16" fontId="2" fillId="0" borderId="6" xfId="0" applyNumberFormat="1" applyFont="1" applyBorder="1" applyAlignment="1" applyProtection="1">
      <alignment horizontal="center"/>
    </xf>
    <xf numFmtId="16" fontId="2" fillId="0" borderId="41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53" xfId="0" applyFont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wrapText="1"/>
    </xf>
    <xf numFmtId="0" fontId="11" fillId="6" borderId="4" xfId="0" applyFont="1" applyFill="1" applyBorder="1" applyAlignment="1" applyProtection="1">
      <alignment horizontal="center" wrapText="1"/>
    </xf>
    <xf numFmtId="0" fontId="20" fillId="0" borderId="2" xfId="0" applyFont="1" applyBorder="1" applyAlignment="1" applyProtection="1">
      <alignment horizontal="center" vertical="center" readingOrder="2"/>
    </xf>
    <xf numFmtId="0" fontId="20" fillId="0" borderId="3" xfId="0" applyFont="1" applyBorder="1" applyAlignment="1" applyProtection="1">
      <alignment horizontal="center" vertical="center" readingOrder="2"/>
    </xf>
    <xf numFmtId="0" fontId="20" fillId="0" borderId="4" xfId="0" applyFont="1" applyBorder="1" applyAlignment="1" applyProtection="1">
      <alignment horizontal="center" vertical="center" readingOrder="2"/>
    </xf>
    <xf numFmtId="0" fontId="16" fillId="0" borderId="10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 wrapText="1"/>
    </xf>
    <xf numFmtId="0" fontId="16" fillId="0" borderId="12" xfId="0" applyFont="1" applyBorder="1" applyAlignment="1" applyProtection="1">
      <alignment horizontal="center" wrapText="1"/>
    </xf>
    <xf numFmtId="0" fontId="11" fillId="6" borderId="16" xfId="0" applyFont="1" applyFill="1" applyBorder="1" applyAlignment="1" applyProtection="1">
      <alignment horizontal="center"/>
    </xf>
    <xf numFmtId="0" fontId="11" fillId="6" borderId="26" xfId="0" applyFont="1" applyFill="1" applyBorder="1" applyAlignment="1" applyProtection="1">
      <alignment horizontal="center"/>
    </xf>
    <xf numFmtId="0" fontId="11" fillId="6" borderId="28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 vertical="center" wrapText="1" readingOrder="2"/>
    </xf>
    <xf numFmtId="0" fontId="7" fillId="3" borderId="25" xfId="0" applyFont="1" applyFill="1" applyBorder="1" applyAlignment="1" applyProtection="1">
      <alignment horizontal="center" vertical="center" wrapText="1" readingOrder="2"/>
    </xf>
    <xf numFmtId="0" fontId="7" fillId="3" borderId="15" xfId="0" applyFont="1" applyFill="1" applyBorder="1" applyAlignment="1" applyProtection="1">
      <alignment horizontal="center" vertical="center" wrapText="1" readingOrder="2"/>
    </xf>
    <xf numFmtId="0" fontId="16" fillId="5" borderId="2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/>
    </xf>
    <xf numFmtId="0" fontId="2" fillId="0" borderId="42" xfId="0" applyFont="1" applyBorder="1" applyAlignment="1" applyProtection="1">
      <alignment horizontal="right" wrapText="1" readingOrder="2"/>
    </xf>
    <xf numFmtId="0" fontId="2" fillId="0" borderId="50" xfId="0" applyFont="1" applyBorder="1" applyAlignment="1" applyProtection="1">
      <alignment horizontal="right" wrapText="1" readingOrder="2"/>
    </xf>
    <xf numFmtId="0" fontId="2" fillId="0" borderId="37" xfId="0" applyFont="1" applyBorder="1" applyAlignment="1" applyProtection="1">
      <alignment horizontal="right" wrapText="1" readingOrder="2"/>
    </xf>
    <xf numFmtId="0" fontId="2" fillId="0" borderId="43" xfId="0" applyFont="1" applyBorder="1" applyAlignment="1" applyProtection="1">
      <alignment horizontal="right" wrapText="1" readingOrder="2"/>
    </xf>
    <xf numFmtId="0" fontId="2" fillId="0" borderId="51" xfId="0" applyFont="1" applyBorder="1" applyAlignment="1" applyProtection="1">
      <alignment horizontal="right" wrapText="1" readingOrder="2"/>
    </xf>
    <xf numFmtId="0" fontId="2" fillId="0" borderId="52" xfId="0" applyFont="1" applyBorder="1" applyAlignment="1" applyProtection="1">
      <alignment horizontal="right" wrapText="1" readingOrder="2"/>
    </xf>
    <xf numFmtId="0" fontId="9" fillId="0" borderId="39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11" borderId="39" xfId="0" applyFont="1" applyFill="1" applyBorder="1" applyAlignment="1" applyProtection="1">
      <alignment horizontal="center"/>
    </xf>
    <xf numFmtId="0" fontId="9" fillId="11" borderId="40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 readingOrder="2"/>
    </xf>
    <xf numFmtId="0" fontId="7" fillId="3" borderId="26" xfId="0" applyFont="1" applyFill="1" applyBorder="1" applyAlignment="1" applyProtection="1">
      <alignment horizontal="center" vertical="center" wrapText="1" readingOrder="2"/>
    </xf>
    <xf numFmtId="0" fontId="7" fillId="3" borderId="28" xfId="0" applyFont="1" applyFill="1" applyBorder="1" applyAlignment="1" applyProtection="1">
      <alignment horizontal="center" vertical="center" wrapText="1" readingOrder="2"/>
    </xf>
    <xf numFmtId="0" fontId="7" fillId="3" borderId="17" xfId="0" applyFont="1" applyFill="1" applyBorder="1" applyAlignment="1" applyProtection="1">
      <alignment horizontal="center" vertical="center" wrapText="1" readingOrder="2"/>
    </xf>
    <xf numFmtId="0" fontId="7" fillId="3" borderId="23" xfId="0" applyFont="1" applyFill="1" applyBorder="1" applyAlignment="1" applyProtection="1">
      <alignment horizontal="center" vertical="center" wrapText="1" readingOrder="2"/>
    </xf>
    <xf numFmtId="0" fontId="7" fillId="3" borderId="27" xfId="0" applyFont="1" applyFill="1" applyBorder="1" applyAlignment="1" applyProtection="1">
      <alignment horizontal="center" vertical="center" wrapText="1" readingOrder="2"/>
    </xf>
    <xf numFmtId="0" fontId="1" fillId="6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</xf>
    <xf numFmtId="0" fontId="29" fillId="0" borderId="18" xfId="2" applyFont="1" applyBorder="1" applyAlignment="1" applyProtection="1">
      <alignment horizontal="center"/>
    </xf>
    <xf numFmtId="0" fontId="29" fillId="0" borderId="19" xfId="2" applyFont="1" applyBorder="1" applyAlignment="1" applyProtection="1">
      <alignment horizontal="center"/>
    </xf>
    <xf numFmtId="0" fontId="29" fillId="0" borderId="31" xfId="2" applyFont="1" applyBorder="1" applyAlignment="1" applyProtection="1">
      <alignment horizontal="center"/>
    </xf>
    <xf numFmtId="0" fontId="20" fillId="0" borderId="2" xfId="2" applyFont="1" applyBorder="1" applyAlignment="1" applyProtection="1">
      <alignment horizontal="center" vertical="center"/>
    </xf>
    <xf numFmtId="0" fontId="20" fillId="0" borderId="3" xfId="2" applyFont="1" applyBorder="1" applyAlignment="1" applyProtection="1">
      <alignment horizontal="center" vertical="center"/>
    </xf>
    <xf numFmtId="0" fontId="20" fillId="0" borderId="4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168" fontId="9" fillId="7" borderId="32" xfId="2" applyNumberFormat="1" applyFont="1" applyFill="1" applyBorder="1" applyAlignment="1" applyProtection="1">
      <alignment horizontal="center" vertical="center"/>
    </xf>
    <xf numFmtId="168" fontId="9" fillId="7" borderId="22" xfId="2" applyNumberFormat="1" applyFont="1" applyFill="1" applyBorder="1" applyAlignment="1" applyProtection="1">
      <alignment horizontal="center" vertical="center"/>
    </xf>
    <xf numFmtId="0" fontId="9" fillId="7" borderId="10" xfId="2" applyFont="1" applyFill="1" applyBorder="1" applyAlignment="1" applyProtection="1">
      <alignment horizontal="center" vertical="center"/>
    </xf>
    <xf numFmtId="0" fontId="9" fillId="7" borderId="11" xfId="2" applyFont="1" applyFill="1" applyBorder="1" applyAlignment="1" applyProtection="1">
      <alignment horizontal="center" vertical="center"/>
    </xf>
    <xf numFmtId="0" fontId="2" fillId="6" borderId="2" xfId="2" applyFont="1" applyFill="1" applyBorder="1" applyAlignment="1" applyProtection="1">
      <alignment horizontal="center"/>
    </xf>
    <xf numFmtId="0" fontId="2" fillId="6" borderId="3" xfId="2" applyFont="1" applyFill="1" applyBorder="1" applyAlignment="1" applyProtection="1">
      <alignment horizontal="center"/>
    </xf>
    <xf numFmtId="0" fontId="2" fillId="6" borderId="4" xfId="2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right"/>
    </xf>
    <xf numFmtId="0" fontId="10" fillId="3" borderId="8" xfId="0" applyFont="1" applyFill="1" applyBorder="1" applyAlignment="1" applyProtection="1">
      <alignment horizontal="center" vertical="center" readingOrder="2"/>
    </xf>
    <xf numFmtId="0" fontId="10" fillId="3" borderId="1" xfId="0" applyFont="1" applyFill="1" applyBorder="1" applyAlignment="1" applyProtection="1">
      <alignment horizontal="center" vertical="center" readingOrder="2"/>
    </xf>
    <xf numFmtId="0" fontId="7" fillId="0" borderId="9" xfId="0" applyFont="1" applyBorder="1" applyAlignment="1" applyProtection="1">
      <alignment horizontal="center" vertical="center" wrapText="1" readingOrder="2"/>
    </xf>
    <xf numFmtId="0" fontId="7" fillId="0" borderId="12" xfId="0" applyFont="1" applyBorder="1" applyAlignment="1" applyProtection="1">
      <alignment horizontal="center" vertical="center" wrapText="1" readingOrder="2"/>
    </xf>
    <xf numFmtId="0" fontId="14" fillId="0" borderId="0" xfId="0" applyFont="1" applyBorder="1" applyAlignment="1" applyProtection="1">
      <alignment horizontal="right" vertical="center" wrapText="1"/>
    </xf>
    <xf numFmtId="0" fontId="10" fillId="3" borderId="39" xfId="0" applyFont="1" applyFill="1" applyBorder="1" applyAlignment="1" applyProtection="1">
      <alignment horizontal="center" vertical="center" readingOrder="2"/>
    </xf>
    <xf numFmtId="0" fontId="10" fillId="3" borderId="33" xfId="0" applyFont="1" applyFill="1" applyBorder="1" applyAlignment="1" applyProtection="1">
      <alignment horizontal="center" vertical="center" readingOrder="2"/>
    </xf>
    <xf numFmtId="0" fontId="7" fillId="0" borderId="47" xfId="0" applyFont="1" applyBorder="1" applyAlignment="1" applyProtection="1">
      <alignment horizontal="center" vertical="center" wrapText="1" readingOrder="2"/>
    </xf>
    <xf numFmtId="0" fontId="11" fillId="0" borderId="9" xfId="0" applyFont="1" applyBorder="1" applyAlignment="1" applyProtection="1">
      <alignment horizontal="center" vertical="center" wrapText="1" readingOrder="2"/>
    </xf>
    <xf numFmtId="0" fontId="7" fillId="0" borderId="63" xfId="0" applyFont="1" applyBorder="1" applyAlignment="1" applyProtection="1">
      <alignment horizontal="center" vertical="center" wrapText="1" readingOrder="2"/>
    </xf>
    <xf numFmtId="0" fontId="12" fillId="0" borderId="13" xfId="0" applyFont="1" applyBorder="1" applyAlignment="1" applyProtection="1">
      <alignment horizontal="center"/>
    </xf>
    <xf numFmtId="0" fontId="12" fillId="0" borderId="4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 readingOrder="2"/>
    </xf>
    <xf numFmtId="0" fontId="12" fillId="6" borderId="39" xfId="0" applyFont="1" applyFill="1" applyBorder="1" applyAlignment="1" applyProtection="1">
      <alignment horizontal="center"/>
    </xf>
    <xf numFmtId="0" fontId="12" fillId="6" borderId="33" xfId="0" applyFont="1" applyFill="1" applyBorder="1" applyAlignment="1" applyProtection="1">
      <alignment horizontal="center"/>
    </xf>
    <xf numFmtId="0" fontId="12" fillId="6" borderId="38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16" fontId="14" fillId="0" borderId="35" xfId="0" applyNumberFormat="1" applyFont="1" applyBorder="1" applyAlignment="1" applyProtection="1">
      <alignment horizontal="center"/>
    </xf>
    <xf numFmtId="16" fontId="14" fillId="0" borderId="55" xfId="0" applyNumberFormat="1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 wrapText="1"/>
    </xf>
    <xf numFmtId="0" fontId="14" fillId="0" borderId="48" xfId="0" applyFont="1" applyBorder="1" applyAlignment="1" applyProtection="1">
      <alignment horizontal="center" wrapText="1"/>
    </xf>
    <xf numFmtId="1" fontId="11" fillId="4" borderId="1" xfId="0" applyNumberFormat="1" applyFont="1" applyFill="1" applyBorder="1" applyAlignment="1" applyProtection="1">
      <alignment horizontal="center" vertical="center" wrapText="1" readingOrder="2"/>
      <protection locked="0"/>
    </xf>
    <xf numFmtId="1" fontId="7" fillId="4" borderId="21" xfId="0" applyNumberFormat="1" applyFont="1" applyFill="1" applyBorder="1" applyAlignment="1" applyProtection="1">
      <alignment horizontal="center" vertical="center" wrapText="1" readingOrder="2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 readingOrder="2"/>
      <protection locked="0"/>
    </xf>
    <xf numFmtId="1" fontId="7" fillId="4" borderId="24" xfId="0" applyNumberFormat="1" applyFont="1" applyFill="1" applyBorder="1" applyAlignment="1" applyProtection="1">
      <alignment horizontal="center" vertical="center" wrapText="1" readingOrder="2"/>
      <protection locked="0"/>
    </xf>
    <xf numFmtId="1" fontId="7" fillId="4" borderId="11" xfId="0" applyNumberFormat="1" applyFont="1" applyFill="1" applyBorder="1" applyAlignment="1" applyProtection="1">
      <alignment horizontal="center" vertical="center" wrapText="1" readingOrder="2"/>
      <protection locked="0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2</xdr:col>
      <xdr:colOff>30480</xdr:colOff>
      <xdr:row>12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7180270" y="4276725"/>
          <a:ext cx="304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</xdr:colOff>
      <xdr:row>11</xdr:row>
      <xdr:rowOff>464820</xdr:rowOff>
    </xdr:from>
    <xdr:to>
      <xdr:col>4</xdr:col>
      <xdr:colOff>1264920</xdr:colOff>
      <xdr:row>13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1221430" y="4274820"/>
          <a:ext cx="28098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34"/>
  <sheetViews>
    <sheetView rightToLeft="1" topLeftCell="A18" workbookViewId="0">
      <selection activeCell="B37" sqref="B37"/>
    </sheetView>
  </sheetViews>
  <sheetFormatPr defaultRowHeight="15"/>
  <cols>
    <col min="1" max="1" width="6.140625" customWidth="1"/>
    <col min="2" max="2" width="37.5703125" customWidth="1"/>
    <col min="3" max="3" width="12.85546875" customWidth="1"/>
    <col min="4" max="4" width="13.5703125" customWidth="1"/>
    <col min="5" max="5" width="14" bestFit="1" customWidth="1"/>
    <col min="6" max="6" width="32.85546875" customWidth="1"/>
    <col min="7" max="7" width="15.85546875" customWidth="1"/>
    <col min="9" max="9" width="27.28515625" bestFit="1" customWidth="1"/>
  </cols>
  <sheetData>
    <row r="2" spans="2:9" ht="21">
      <c r="B2" s="10" t="s">
        <v>161</v>
      </c>
      <c r="I2" s="7" t="s">
        <v>108</v>
      </c>
    </row>
    <row r="3" spans="2:9" ht="21">
      <c r="B3" s="10" t="s">
        <v>162</v>
      </c>
      <c r="F3" s="6" t="s">
        <v>107</v>
      </c>
      <c r="G3" s="6" t="s">
        <v>104</v>
      </c>
      <c r="H3" s="6"/>
      <c r="I3" s="8">
        <v>10000000000</v>
      </c>
    </row>
    <row r="4" spans="2:9" ht="21">
      <c r="F4" s="12">
        <v>1390</v>
      </c>
      <c r="G4" s="12"/>
      <c r="H4" s="12">
        <v>40.299999999999997</v>
      </c>
      <c r="I4" s="11">
        <f t="shared" ref="I4:I8" si="0">$H$14/H4</f>
        <v>10.843672456575684</v>
      </c>
    </row>
    <row r="5" spans="2:9" ht="22.5">
      <c r="B5" s="1" t="s">
        <v>70</v>
      </c>
      <c r="C5" s="1">
        <v>2</v>
      </c>
      <c r="F5" s="12">
        <v>1391</v>
      </c>
      <c r="G5" s="12"/>
      <c r="H5" s="12">
        <v>52.6</v>
      </c>
      <c r="I5" s="11">
        <f t="shared" si="0"/>
        <v>8.3079847908745244</v>
      </c>
    </row>
    <row r="6" spans="2:9" ht="22.5">
      <c r="B6" s="1" t="s">
        <v>59</v>
      </c>
      <c r="C6" s="1">
        <v>8</v>
      </c>
      <c r="F6" s="12">
        <v>1392</v>
      </c>
      <c r="G6" s="12"/>
      <c r="H6" s="12">
        <v>70.900000000000006</v>
      </c>
      <c r="I6" s="11">
        <f t="shared" si="0"/>
        <v>6.1636107193229899</v>
      </c>
    </row>
    <row r="7" spans="2:9" ht="22.5">
      <c r="B7" s="1" t="s">
        <v>58</v>
      </c>
      <c r="C7" s="1">
        <v>12</v>
      </c>
      <c r="F7" s="12">
        <v>1393</v>
      </c>
      <c r="G7" s="12"/>
      <c r="H7" s="12">
        <v>81.900000000000006</v>
      </c>
      <c r="I7" s="11">
        <f t="shared" si="0"/>
        <v>5.3357753357753355</v>
      </c>
    </row>
    <row r="8" spans="2:9" ht="22.5">
      <c r="B8" s="1" t="s">
        <v>71</v>
      </c>
      <c r="C8" s="1">
        <v>16</v>
      </c>
      <c r="F8" s="12">
        <v>1394</v>
      </c>
      <c r="G8" s="12"/>
      <c r="H8" s="12">
        <v>91.7</v>
      </c>
      <c r="I8" s="11">
        <f t="shared" si="0"/>
        <v>4.7655398037077425</v>
      </c>
    </row>
    <row r="9" spans="2:9" ht="22.5">
      <c r="B9" s="1" t="s">
        <v>57</v>
      </c>
      <c r="C9" s="1">
        <v>20</v>
      </c>
      <c r="F9" s="6">
        <v>1395</v>
      </c>
      <c r="G9" s="6">
        <v>1</v>
      </c>
      <c r="H9" s="6">
        <v>100</v>
      </c>
      <c r="I9" s="11">
        <f>$H$14/H9</f>
        <v>4.37</v>
      </c>
    </row>
    <row r="10" spans="2:9" ht="21">
      <c r="B10" s="2" t="s">
        <v>72</v>
      </c>
      <c r="C10" s="2">
        <v>0</v>
      </c>
      <c r="F10" s="6">
        <v>1396</v>
      </c>
      <c r="G10" s="6">
        <v>2</v>
      </c>
      <c r="H10" s="6">
        <v>109.6</v>
      </c>
      <c r="I10" s="11">
        <f t="shared" ref="I10:I14" si="1">$H$14/H10</f>
        <v>3.9872262773722631</v>
      </c>
    </row>
    <row r="11" spans="2:9" ht="21">
      <c r="B11" s="3"/>
      <c r="C11" s="3"/>
      <c r="F11" s="6">
        <v>1397</v>
      </c>
      <c r="G11" s="6">
        <v>3</v>
      </c>
      <c r="H11" s="6">
        <v>143.80000000000001</v>
      </c>
      <c r="I11" s="11">
        <f t="shared" si="1"/>
        <v>3.0389429763560498</v>
      </c>
    </row>
    <row r="12" spans="2:9" ht="22.5">
      <c r="B12" s="1" t="s">
        <v>70</v>
      </c>
      <c r="C12" s="1">
        <v>3</v>
      </c>
      <c r="F12" s="6">
        <v>1398</v>
      </c>
      <c r="G12" s="6">
        <v>4</v>
      </c>
      <c r="H12" s="6">
        <v>203.2</v>
      </c>
      <c r="I12" s="11">
        <f t="shared" si="1"/>
        <v>2.1505905511811023</v>
      </c>
    </row>
    <row r="13" spans="2:9" ht="22.5">
      <c r="B13" s="1" t="s">
        <v>59</v>
      </c>
      <c r="C13" s="1">
        <v>12</v>
      </c>
      <c r="F13" s="6">
        <v>1399</v>
      </c>
      <c r="G13" s="6">
        <v>5</v>
      </c>
      <c r="H13" s="6">
        <v>298.89999999999998</v>
      </c>
      <c r="I13" s="11">
        <f t="shared" si="1"/>
        <v>1.4620274339243895</v>
      </c>
    </row>
    <row r="14" spans="2:9" ht="22.5">
      <c r="B14" s="1" t="s">
        <v>58</v>
      </c>
      <c r="C14" s="1">
        <v>18</v>
      </c>
      <c r="F14" s="6">
        <v>1400</v>
      </c>
      <c r="G14" s="6">
        <v>6</v>
      </c>
      <c r="H14" s="6">
        <v>437</v>
      </c>
      <c r="I14" s="11">
        <f t="shared" si="1"/>
        <v>1</v>
      </c>
    </row>
    <row r="15" spans="2:9" ht="22.5">
      <c r="B15" s="1" t="s">
        <v>71</v>
      </c>
      <c r="C15" s="1">
        <v>24</v>
      </c>
    </row>
    <row r="16" spans="2:9" ht="22.5">
      <c r="B16" s="1" t="s">
        <v>57</v>
      </c>
      <c r="C16" s="1">
        <v>30</v>
      </c>
    </row>
    <row r="17" spans="2:5" ht="18.75">
      <c r="B17" s="2" t="s">
        <v>72</v>
      </c>
      <c r="C17" s="2">
        <v>0</v>
      </c>
    </row>
    <row r="19" spans="2:5">
      <c r="B19" t="s">
        <v>152</v>
      </c>
      <c r="D19" t="s">
        <v>109</v>
      </c>
    </row>
    <row r="20" spans="2:5" ht="18">
      <c r="B20" s="9" t="s">
        <v>266</v>
      </c>
      <c r="C20" s="39">
        <v>1</v>
      </c>
      <c r="D20" s="10" t="s">
        <v>111</v>
      </c>
      <c r="E20" s="39">
        <v>1</v>
      </c>
    </row>
    <row r="21" spans="2:5" ht="18">
      <c r="B21" s="9" t="s">
        <v>267</v>
      </c>
      <c r="C21" s="39">
        <v>0.5</v>
      </c>
      <c r="D21" s="10" t="s">
        <v>110</v>
      </c>
      <c r="E21" s="39">
        <v>0.8</v>
      </c>
    </row>
    <row r="22" spans="2:5">
      <c r="D22" s="35" t="s">
        <v>132</v>
      </c>
      <c r="E22" s="39">
        <v>0.8</v>
      </c>
    </row>
    <row r="23" spans="2:5">
      <c r="B23" t="s">
        <v>115</v>
      </c>
      <c r="D23" s="10" t="s">
        <v>153</v>
      </c>
      <c r="E23" s="39">
        <v>0.7</v>
      </c>
    </row>
    <row r="24" spans="2:5">
      <c r="B24" s="10" t="s">
        <v>113</v>
      </c>
      <c r="D24" s="35" t="s">
        <v>265</v>
      </c>
      <c r="E24" s="39">
        <v>0.6</v>
      </c>
    </row>
    <row r="25" spans="2:5">
      <c r="B25" s="10" t="s">
        <v>114</v>
      </c>
    </row>
    <row r="27" spans="2:5">
      <c r="B27" t="s">
        <v>270</v>
      </c>
    </row>
    <row r="28" spans="2:5" ht="37.5">
      <c r="B28" s="42" t="s">
        <v>271</v>
      </c>
      <c r="C28" s="3"/>
    </row>
    <row r="29" spans="2:5">
      <c r="B29" s="43" t="s">
        <v>272</v>
      </c>
    </row>
    <row r="32" spans="2:5" ht="15.75" thickBot="1"/>
    <row r="33" spans="2:2">
      <c r="B33" s="228" t="s">
        <v>279</v>
      </c>
    </row>
    <row r="34" spans="2:2" ht="15.75" thickBot="1">
      <c r="B34" s="229" t="s">
        <v>280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1:K33"/>
  <sheetViews>
    <sheetView rightToLeft="1" topLeftCell="B19" zoomScaleNormal="100" workbookViewId="0">
      <selection activeCell="D8" sqref="D8"/>
    </sheetView>
  </sheetViews>
  <sheetFormatPr defaultRowHeight="15"/>
  <cols>
    <col min="1" max="1" width="9.140625" style="44"/>
    <col min="2" max="2" width="3.7109375" style="44" customWidth="1"/>
    <col min="3" max="3" width="7.5703125" style="44" customWidth="1"/>
    <col min="4" max="4" width="34.5703125" style="44" customWidth="1"/>
    <col min="5" max="5" width="26.28515625" style="44" customWidth="1"/>
    <col min="6" max="6" width="24.42578125" style="44" customWidth="1"/>
    <col min="7" max="7" width="14.7109375" style="44" customWidth="1"/>
    <col min="8" max="8" width="12.5703125" style="44" customWidth="1"/>
    <col min="9" max="9" width="11.140625" style="44" hidden="1" customWidth="1"/>
    <col min="10" max="10" width="17.140625" style="44" hidden="1" customWidth="1"/>
    <col min="11" max="11" width="10.85546875" style="44" bestFit="1" customWidth="1"/>
    <col min="12" max="12" width="9.140625" style="44"/>
    <col min="13" max="13" width="8.85546875" style="44" customWidth="1"/>
    <col min="14" max="16384" width="9.140625" style="44"/>
  </cols>
  <sheetData>
    <row r="1" spans="3:11" ht="27" thickBot="1">
      <c r="C1" s="370" t="s">
        <v>148</v>
      </c>
      <c r="D1" s="371"/>
      <c r="E1" s="371"/>
      <c r="F1" s="371"/>
      <c r="G1" s="372"/>
    </row>
    <row r="2" spans="3:11" ht="15.75" thickBot="1"/>
    <row r="3" spans="3:11" ht="21.75" thickBot="1">
      <c r="C3" s="387" t="s">
        <v>151</v>
      </c>
      <c r="D3" s="388"/>
      <c r="E3" s="388"/>
      <c r="F3" s="388"/>
      <c r="G3" s="389"/>
    </row>
    <row r="4" spans="3:11" ht="15.75" thickBot="1">
      <c r="I4" s="209"/>
      <c r="J4" s="209"/>
    </row>
    <row r="5" spans="3:11" s="178" customFormat="1" ht="42.75" customHeight="1" thickBot="1">
      <c r="C5" s="210" t="s">
        <v>43</v>
      </c>
      <c r="D5" s="211" t="s">
        <v>156</v>
      </c>
      <c r="E5" s="211" t="s">
        <v>109</v>
      </c>
      <c r="F5" s="211" t="s">
        <v>154</v>
      </c>
      <c r="G5" s="211" t="s">
        <v>268</v>
      </c>
      <c r="H5" s="211" t="s">
        <v>157</v>
      </c>
      <c r="I5" s="212" t="s">
        <v>155</v>
      </c>
      <c r="J5" s="212" t="s">
        <v>269</v>
      </c>
      <c r="K5" s="212" t="s">
        <v>83</v>
      </c>
    </row>
    <row r="6" spans="3:11" s="174" customFormat="1" ht="18">
      <c r="C6" s="213">
        <v>1</v>
      </c>
      <c r="D6" s="31"/>
      <c r="E6" s="41"/>
      <c r="F6" s="31"/>
      <c r="G6" s="40"/>
      <c r="H6" s="19"/>
      <c r="I6" s="214">
        <f>IF(E6="",0,7*VLOOKUP(E6,'اطلاعات پایه'!$D$20:$E$24,2,FALSE))</f>
        <v>0</v>
      </c>
      <c r="J6" s="215">
        <f>IF(G6="",0,I6*VLOOKUP(G6,'اطلاعات پایه'!$B$20:$C$21,2,FALSE))</f>
        <v>0</v>
      </c>
      <c r="K6" s="214">
        <f>IF(H6&gt;=1,J6,0)</f>
        <v>0</v>
      </c>
    </row>
    <row r="7" spans="3:11" s="174" customFormat="1" ht="18">
      <c r="C7" s="216">
        <v>2</v>
      </c>
      <c r="D7" s="32"/>
      <c r="E7" s="41"/>
      <c r="F7" s="31"/>
      <c r="G7" s="40"/>
      <c r="H7" s="19"/>
      <c r="I7" s="214">
        <f>IF(E7="",0,7*VLOOKUP(E7,'اطلاعات پایه'!$D$20:$E$24,2,FALSE))</f>
        <v>0</v>
      </c>
      <c r="J7" s="215">
        <f>IF(G7="",0,I7*VLOOKUP(G7,'اطلاعات پایه'!$B$20:$C$21,2,FALSE))</f>
        <v>0</v>
      </c>
      <c r="K7" s="214">
        <f t="shared" ref="K7:K15" si="0">IF(H7&gt;=1,J7,0)</f>
        <v>0</v>
      </c>
    </row>
    <row r="8" spans="3:11" s="174" customFormat="1" ht="18">
      <c r="C8" s="216">
        <v>3</v>
      </c>
      <c r="D8" s="32"/>
      <c r="E8" s="41"/>
      <c r="F8" s="31"/>
      <c r="G8" s="40"/>
      <c r="H8" s="19"/>
      <c r="I8" s="214">
        <f>IF(E8="",0,7*VLOOKUP(E8,'اطلاعات پایه'!$D$20:$E$24,2,FALSE))</f>
        <v>0</v>
      </c>
      <c r="J8" s="215">
        <f>IF(G8="",0,I8*VLOOKUP(G8,'اطلاعات پایه'!$B$20:$C$21,2,FALSE))</f>
        <v>0</v>
      </c>
      <c r="K8" s="214">
        <f t="shared" si="0"/>
        <v>0</v>
      </c>
    </row>
    <row r="9" spans="3:11" s="174" customFormat="1" ht="18">
      <c r="C9" s="216">
        <v>4</v>
      </c>
      <c r="D9" s="32"/>
      <c r="E9" s="41"/>
      <c r="F9" s="31"/>
      <c r="G9" s="40"/>
      <c r="H9" s="19"/>
      <c r="I9" s="214">
        <f>IF(E9="",0,7*VLOOKUP(E9,'اطلاعات پایه'!$D$20:$E$24,2,FALSE))</f>
        <v>0</v>
      </c>
      <c r="J9" s="215">
        <f>IF(G9="",0,I9*VLOOKUP(G9,'اطلاعات پایه'!$B$20:$C$21,2,FALSE))</f>
        <v>0</v>
      </c>
      <c r="K9" s="214">
        <f t="shared" si="0"/>
        <v>0</v>
      </c>
    </row>
    <row r="10" spans="3:11" s="174" customFormat="1" ht="18">
      <c r="C10" s="216">
        <v>5</v>
      </c>
      <c r="D10" s="32"/>
      <c r="E10" s="41"/>
      <c r="F10" s="31"/>
      <c r="G10" s="40"/>
      <c r="H10" s="19"/>
      <c r="I10" s="214">
        <f>IF(E10="",0,7*VLOOKUP(E10,'اطلاعات پایه'!$D$20:$E$24,2,FALSE))</f>
        <v>0</v>
      </c>
      <c r="J10" s="215">
        <f>IF(G10="",0,I10*VLOOKUP(G10,'اطلاعات پایه'!$B$20:$C$21,2,FALSE))</f>
        <v>0</v>
      </c>
      <c r="K10" s="214">
        <f t="shared" si="0"/>
        <v>0</v>
      </c>
    </row>
    <row r="11" spans="3:11" s="174" customFormat="1" ht="18">
      <c r="C11" s="216">
        <v>6</v>
      </c>
      <c r="D11" s="32"/>
      <c r="E11" s="41"/>
      <c r="F11" s="31"/>
      <c r="G11" s="40"/>
      <c r="H11" s="19"/>
      <c r="I11" s="214">
        <f>IF(E11="",0,7*VLOOKUP(E11,'اطلاعات پایه'!$D$20:$E$24,2,FALSE))</f>
        <v>0</v>
      </c>
      <c r="J11" s="215">
        <f>IF(G11="",0,I11*VLOOKUP(G11,'اطلاعات پایه'!$B$20:$C$21,2,FALSE))</f>
        <v>0</v>
      </c>
      <c r="K11" s="214">
        <f t="shared" si="0"/>
        <v>0</v>
      </c>
    </row>
    <row r="12" spans="3:11" s="174" customFormat="1" ht="18">
      <c r="C12" s="216">
        <v>7</v>
      </c>
      <c r="D12" s="32"/>
      <c r="E12" s="41"/>
      <c r="F12" s="31"/>
      <c r="G12" s="40"/>
      <c r="H12" s="19"/>
      <c r="I12" s="214">
        <f>IF(E12="",0,7*VLOOKUP(E12,'اطلاعات پایه'!$D$20:$E$24,2,FALSE))</f>
        <v>0</v>
      </c>
      <c r="J12" s="215">
        <f>IF(G12="",0,I12*VLOOKUP(G12,'اطلاعات پایه'!$B$20:$C$21,2,FALSE))</f>
        <v>0</v>
      </c>
      <c r="K12" s="214">
        <f t="shared" si="0"/>
        <v>0</v>
      </c>
    </row>
    <row r="13" spans="3:11" s="174" customFormat="1" ht="18">
      <c r="C13" s="216">
        <v>8</v>
      </c>
      <c r="D13" s="32"/>
      <c r="E13" s="41"/>
      <c r="F13" s="31"/>
      <c r="G13" s="40"/>
      <c r="H13" s="19"/>
      <c r="I13" s="214">
        <f>IF(E13="",0,7*VLOOKUP(E13,'اطلاعات پایه'!$D$20:$E$24,2,FALSE))</f>
        <v>0</v>
      </c>
      <c r="J13" s="215">
        <f>IF(G13="",0,I13*VLOOKUP(G13,'اطلاعات پایه'!$B$20:$C$21,2,FALSE))</f>
        <v>0</v>
      </c>
      <c r="K13" s="214">
        <f t="shared" si="0"/>
        <v>0</v>
      </c>
    </row>
    <row r="14" spans="3:11" s="174" customFormat="1" ht="18">
      <c r="C14" s="216">
        <v>9</v>
      </c>
      <c r="D14" s="32"/>
      <c r="E14" s="41"/>
      <c r="F14" s="31"/>
      <c r="G14" s="40"/>
      <c r="H14" s="19"/>
      <c r="I14" s="214">
        <f>IF(E14="",0,7*VLOOKUP(E14,'اطلاعات پایه'!$D$20:$E$24,2,FALSE))</f>
        <v>0</v>
      </c>
      <c r="J14" s="215">
        <f>IF(G14="",0,I14*VLOOKUP(G14,'اطلاعات پایه'!$B$20:$C$21,2,FALSE))</f>
        <v>0</v>
      </c>
      <c r="K14" s="214">
        <f t="shared" si="0"/>
        <v>0</v>
      </c>
    </row>
    <row r="15" spans="3:11" s="174" customFormat="1" ht="18">
      <c r="C15" s="216">
        <v>10</v>
      </c>
      <c r="D15" s="32"/>
      <c r="E15" s="41"/>
      <c r="F15" s="31"/>
      <c r="G15" s="40"/>
      <c r="H15" s="19"/>
      <c r="I15" s="214">
        <f>IF(E15="",0,7*VLOOKUP(E15,'اطلاعات پایه'!$D$20:$E$24,2,FALSE))</f>
        <v>0</v>
      </c>
      <c r="J15" s="215">
        <f>IF(G15="",0,I15*VLOOKUP(G15,'اطلاعات پایه'!$B$20:$C$21,2,FALSE))</f>
        <v>0</v>
      </c>
      <c r="K15" s="214">
        <f t="shared" si="0"/>
        <v>0</v>
      </c>
    </row>
    <row r="16" spans="3:11" s="174" customFormat="1" ht="21">
      <c r="H16" s="217" t="s">
        <v>30</v>
      </c>
      <c r="I16" s="218">
        <f t="shared" ref="I16:J16" si="1">SUM(I6:I15)</f>
        <v>0</v>
      </c>
      <c r="J16" s="218">
        <f t="shared" si="1"/>
        <v>0</v>
      </c>
      <c r="K16" s="218">
        <f>SUM(K6:K15)</f>
        <v>0</v>
      </c>
    </row>
    <row r="17" spans="3:7" ht="15.75" thickBot="1"/>
    <row r="18" spans="3:7" ht="21.75" thickBot="1">
      <c r="C18" s="387" t="s">
        <v>158</v>
      </c>
      <c r="D18" s="388"/>
      <c r="E18" s="388"/>
      <c r="F18" s="388"/>
      <c r="G18" s="389"/>
    </row>
    <row r="20" spans="3:7" ht="51.75" customHeight="1">
      <c r="C20" s="219" t="s">
        <v>43</v>
      </c>
      <c r="D20" s="219" t="s">
        <v>273</v>
      </c>
      <c r="E20" s="219" t="s">
        <v>159</v>
      </c>
      <c r="F20" s="219" t="s">
        <v>270</v>
      </c>
      <c r="G20" s="220" t="s">
        <v>30</v>
      </c>
    </row>
    <row r="21" spans="3:7" ht="32.25" customHeight="1">
      <c r="C21" s="219">
        <v>1</v>
      </c>
      <c r="D21" s="227"/>
      <c r="E21" s="227"/>
      <c r="F21" s="206"/>
      <c r="G21" s="221">
        <f>IF(F21="مرتبط (طراحی، نصب و راه اندازی، تعمیر و نگهداری، بهره برداری، مدیریت پروژه)",6,IF(F21="سایر",2,0))</f>
        <v>0</v>
      </c>
    </row>
    <row r="22" spans="3:7" ht="32.25" customHeight="1">
      <c r="C22" s="219">
        <v>2</v>
      </c>
      <c r="D22" s="227"/>
      <c r="E22" s="227"/>
      <c r="F22" s="206"/>
      <c r="G22" s="221">
        <f t="shared" ref="G22:G25" si="2">IF(F22="مرتبط (طراحی، نصب و راه اندازی، تعمیر و نگهداری، بهره برداری، مدیریت پروژه)",6,IF(F22="سایر",2,0))</f>
        <v>0</v>
      </c>
    </row>
    <row r="23" spans="3:7" ht="32.25" customHeight="1">
      <c r="C23" s="219">
        <v>3</v>
      </c>
      <c r="D23" s="227"/>
      <c r="E23" s="227"/>
      <c r="F23" s="206"/>
      <c r="G23" s="221">
        <f t="shared" si="2"/>
        <v>0</v>
      </c>
    </row>
    <row r="24" spans="3:7" ht="32.25" customHeight="1">
      <c r="C24" s="219">
        <v>4</v>
      </c>
      <c r="D24" s="227"/>
      <c r="E24" s="227"/>
      <c r="F24" s="206"/>
      <c r="G24" s="221">
        <f t="shared" si="2"/>
        <v>0</v>
      </c>
    </row>
    <row r="25" spans="3:7" ht="32.25" customHeight="1">
      <c r="C25" s="219">
        <v>5</v>
      </c>
      <c r="D25" s="227"/>
      <c r="E25" s="227"/>
      <c r="F25" s="206"/>
      <c r="G25" s="221">
        <f t="shared" si="2"/>
        <v>0</v>
      </c>
    </row>
    <row r="26" spans="3:7" ht="32.25" customHeight="1">
      <c r="C26" s="222"/>
      <c r="D26" s="386" t="s">
        <v>165</v>
      </c>
      <c r="E26" s="386"/>
      <c r="F26" s="223" t="s">
        <v>30</v>
      </c>
      <c r="G26" s="224">
        <f>SUM(G21:G25)</f>
        <v>0</v>
      </c>
    </row>
    <row r="28" spans="3:7" ht="15.75" thickBot="1"/>
    <row r="29" spans="3:7" ht="24.75" thickBot="1">
      <c r="C29" s="390" t="s">
        <v>170</v>
      </c>
      <c r="D29" s="391"/>
      <c r="E29" s="392"/>
    </row>
    <row r="30" spans="3:7" ht="22.5">
      <c r="C30" s="393" t="s">
        <v>171</v>
      </c>
      <c r="D30" s="394"/>
      <c r="E30" s="225">
        <f>K16</f>
        <v>0</v>
      </c>
    </row>
    <row r="31" spans="3:7" ht="37.5" customHeight="1">
      <c r="C31" s="395" t="s">
        <v>274</v>
      </c>
      <c r="D31" s="396"/>
      <c r="E31" s="125">
        <f>G26</f>
        <v>0</v>
      </c>
    </row>
    <row r="32" spans="3:7" ht="23.25" thickBot="1">
      <c r="C32" s="384" t="s">
        <v>54</v>
      </c>
      <c r="D32" s="385"/>
      <c r="E32" s="226">
        <f>SUM(E30:E31)</f>
        <v>0</v>
      </c>
    </row>
    <row r="33" spans="3:5" ht="24.75" thickBot="1">
      <c r="C33" s="264" t="s">
        <v>83</v>
      </c>
      <c r="D33" s="300"/>
      <c r="E33" s="128">
        <f>E32*25%</f>
        <v>0</v>
      </c>
    </row>
  </sheetData>
  <sheetProtection algorithmName="SHA-512" hashValue="6VbwvtTwzOPlj7NWhL6FDT/1k/l9JyvySHJwVInjit3rivBFh9/qMSxGsq3x7UMo7z2QWaVYAMMJtlJG/Chmlg==" saltValue="TgbeMsZQbZ+pEMwSGUz0Aw==" spinCount="100000" sheet="1" objects="1" scenarios="1" selectLockedCells="1"/>
  <mergeCells count="9">
    <mergeCell ref="C32:D32"/>
    <mergeCell ref="C33:D33"/>
    <mergeCell ref="D26:E26"/>
    <mergeCell ref="C18:G18"/>
    <mergeCell ref="C1:G1"/>
    <mergeCell ref="C3:G3"/>
    <mergeCell ref="C29:E29"/>
    <mergeCell ref="C30:D30"/>
    <mergeCell ref="C31:D31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'اطلاعات پایه'!$D$20:$D$24</xm:f>
          </x14:formula1>
          <xm:sqref>E6:E15</xm:sqref>
        </x14:dataValidation>
        <x14:dataValidation type="list" allowBlank="1" showInputMessage="1" showErrorMessage="1">
          <x14:formula1>
            <xm:f>'اطلاعات پایه'!$B$28:$B$29</xm:f>
          </x14:formula1>
          <xm:sqref>F21:F25</xm:sqref>
        </x14:dataValidation>
        <x14:dataValidation type="list" allowBlank="1" showInputMessage="1" showErrorMessage="1">
          <x14:formula1>
            <xm:f>'اطلاعات پایه'!$B$20:$B$21</xm:f>
          </x14:formula1>
          <xm:sqref>G6:G15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9"/>
  <sheetViews>
    <sheetView rightToLeft="1" topLeftCell="A4" workbookViewId="0">
      <selection activeCell="F13" sqref="F13"/>
    </sheetView>
  </sheetViews>
  <sheetFormatPr defaultColWidth="8.85546875" defaultRowHeight="22.5"/>
  <cols>
    <col min="1" max="1" width="4.85546875" style="46" customWidth="1"/>
    <col min="2" max="2" width="8.85546875" style="46" customWidth="1"/>
    <col min="3" max="3" width="37.7109375" style="46" customWidth="1"/>
    <col min="4" max="4" width="12.7109375" style="46" customWidth="1"/>
    <col min="5" max="5" width="14.7109375" style="46" customWidth="1"/>
    <col min="6" max="6" width="17.7109375" style="46" customWidth="1"/>
    <col min="7" max="7" width="17.5703125" style="46" customWidth="1"/>
    <col min="8" max="16384" width="8.85546875" style="46"/>
  </cols>
  <sheetData>
    <row r="1" spans="1:7" ht="27" thickBot="1">
      <c r="A1" s="44"/>
      <c r="B1" s="261" t="s">
        <v>173</v>
      </c>
      <c r="C1" s="262"/>
      <c r="D1" s="262"/>
      <c r="E1" s="263"/>
      <c r="F1" s="45" t="s">
        <v>89</v>
      </c>
      <c r="G1" s="69"/>
    </row>
    <row r="2" spans="1:7" ht="23.25" thickBot="1">
      <c r="A2" s="44"/>
    </row>
    <row r="3" spans="1:7" ht="48.75" thickBot="1">
      <c r="A3" s="44"/>
      <c r="B3" s="47" t="s">
        <v>43</v>
      </c>
      <c r="C3" s="48" t="s">
        <v>47</v>
      </c>
      <c r="D3" s="49" t="s">
        <v>44</v>
      </c>
      <c r="E3" s="48" t="s">
        <v>45</v>
      </c>
      <c r="F3" s="50" t="s">
        <v>46</v>
      </c>
    </row>
    <row r="4" spans="1:7" ht="26.25" customHeight="1">
      <c r="A4" s="44"/>
      <c r="B4" s="51">
        <v>1</v>
      </c>
      <c r="C4" s="52" t="s">
        <v>84</v>
      </c>
      <c r="D4" s="53">
        <f>'سابقه اجرایی'!E54</f>
        <v>0</v>
      </c>
      <c r="E4" s="54">
        <v>25</v>
      </c>
      <c r="F4" s="55"/>
    </row>
    <row r="5" spans="1:7" ht="26.25" customHeight="1">
      <c r="A5" s="44"/>
      <c r="B5" s="56">
        <v>2</v>
      </c>
      <c r="C5" s="57" t="s">
        <v>85</v>
      </c>
      <c r="D5" s="58">
        <f>'حسن سابقه در کارهای قبلی'!H29</f>
        <v>0</v>
      </c>
      <c r="E5" s="59">
        <v>10</v>
      </c>
      <c r="F5" s="60"/>
    </row>
    <row r="6" spans="1:7" ht="26.25" customHeight="1">
      <c r="A6" s="44"/>
      <c r="B6" s="56">
        <v>3</v>
      </c>
      <c r="C6" s="57" t="s">
        <v>86</v>
      </c>
      <c r="D6" s="58">
        <f>'توان مالی'!F9</f>
        <v>0</v>
      </c>
      <c r="E6" s="59">
        <v>25</v>
      </c>
      <c r="F6" s="60"/>
    </row>
    <row r="7" spans="1:7" ht="26.25" customHeight="1">
      <c r="A7" s="44"/>
      <c r="B7" s="56">
        <v>4</v>
      </c>
      <c r="C7" s="57" t="s">
        <v>281</v>
      </c>
      <c r="D7" s="58">
        <f>'صلاحیت ایمنی'!F8</f>
        <v>0</v>
      </c>
      <c r="E7" s="59">
        <v>5</v>
      </c>
      <c r="F7" s="60"/>
    </row>
    <row r="8" spans="1:7" ht="26.25" customHeight="1">
      <c r="A8" s="44"/>
      <c r="B8" s="56">
        <v>5</v>
      </c>
      <c r="C8" s="57" t="s">
        <v>87</v>
      </c>
      <c r="D8" s="58">
        <f>'تضمین کیفیت خدمات'!Q11</f>
        <v>0</v>
      </c>
      <c r="E8" s="59">
        <v>5</v>
      </c>
      <c r="F8" s="60"/>
    </row>
    <row r="9" spans="1:7" ht="26.25" customHeight="1">
      <c r="A9" s="44"/>
      <c r="B9" s="56">
        <v>6</v>
      </c>
      <c r="C9" s="57" t="s">
        <v>88</v>
      </c>
      <c r="D9" s="58">
        <f>'توان تجهیزاتی'!E72</f>
        <v>0</v>
      </c>
      <c r="E9" s="59">
        <v>10</v>
      </c>
      <c r="F9" s="60"/>
    </row>
    <row r="10" spans="1:7" ht="26.25" customHeight="1" thickBot="1">
      <c r="A10" s="44"/>
      <c r="B10" s="56">
        <v>7</v>
      </c>
      <c r="C10" s="61" t="s">
        <v>148</v>
      </c>
      <c r="D10" s="62">
        <f>'کفایت کادر فنی'!E33</f>
        <v>0</v>
      </c>
      <c r="E10" s="63">
        <v>20</v>
      </c>
      <c r="F10" s="60"/>
    </row>
    <row r="11" spans="1:7" ht="32.25" customHeight="1" thickBot="1">
      <c r="A11" s="44"/>
      <c r="B11" s="264" t="s">
        <v>42</v>
      </c>
      <c r="C11" s="265"/>
      <c r="D11" s="64">
        <f>IF(SUM(D4:D10)&gt;100,100,SUM(D4:D10))</f>
        <v>0</v>
      </c>
      <c r="E11" s="65">
        <f>SUM(E4:E10)</f>
        <v>100</v>
      </c>
      <c r="F11" s="66" t="str">
        <f>IF(D11&lt;60," مردود","تائید")</f>
        <v xml:space="preserve"> مردود</v>
      </c>
    </row>
    <row r="13" spans="1:7" ht="45.75" customHeight="1">
      <c r="B13" s="275" t="s">
        <v>174</v>
      </c>
      <c r="C13" s="276"/>
      <c r="D13" s="37"/>
      <c r="E13" s="67" t="s">
        <v>184</v>
      </c>
      <c r="F13" s="38"/>
    </row>
    <row r="14" spans="1:7" ht="33" customHeight="1">
      <c r="B14" s="275" t="s">
        <v>175</v>
      </c>
      <c r="C14" s="276"/>
      <c r="D14" s="37"/>
      <c r="E14" s="67" t="s">
        <v>176</v>
      </c>
      <c r="F14" s="38"/>
    </row>
    <row r="16" spans="1:7" ht="24.75" thickBot="1">
      <c r="B16" s="68" t="s">
        <v>69</v>
      </c>
    </row>
    <row r="17" spans="2:6" ht="22.5" customHeight="1">
      <c r="B17" s="266" t="s">
        <v>190</v>
      </c>
      <c r="C17" s="267"/>
      <c r="D17" s="267"/>
      <c r="E17" s="267"/>
      <c r="F17" s="268"/>
    </row>
    <row r="18" spans="2:6" ht="22.5" customHeight="1">
      <c r="B18" s="269"/>
      <c r="C18" s="270"/>
      <c r="D18" s="270"/>
      <c r="E18" s="270"/>
      <c r="F18" s="271"/>
    </row>
    <row r="19" spans="2:6" ht="23.25" customHeight="1" thickBot="1">
      <c r="B19" s="272"/>
      <c r="C19" s="273"/>
      <c r="D19" s="273"/>
      <c r="E19" s="273"/>
      <c r="F19" s="274"/>
    </row>
  </sheetData>
  <sheetProtection algorithmName="SHA-512" hashValue="ofJRCVD/txvHtUru61KMHJbZRoadkKf3vpJZygUCrfLlwC+Ib1K7uMf8Am9UDl6AaL84zc8piPeIdMMmLd0AiA==" saltValue="RK0DGzZGB9rNIP/TKOIXAw==" spinCount="100000" sheet="1" objects="1" scenarios="1" selectLockedCells="1"/>
  <mergeCells count="5">
    <mergeCell ref="B1:E1"/>
    <mergeCell ref="B11:C11"/>
    <mergeCell ref="B17:F19"/>
    <mergeCell ref="B13:C13"/>
    <mergeCell ref="B14:C1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پایه'!$B$24:$B$25</xm:f>
          </x14:formula1>
          <xm:sqref>D13:D14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0"/>
  <sheetViews>
    <sheetView rightToLeft="1" topLeftCell="A10" zoomScale="82" zoomScaleNormal="82" workbookViewId="0">
      <selection activeCell="C10" sqref="C10:F10"/>
    </sheetView>
  </sheetViews>
  <sheetFormatPr defaultColWidth="8.85546875" defaultRowHeight="22.5"/>
  <cols>
    <col min="1" max="1" width="3" style="46" customWidth="1"/>
    <col min="2" max="2" width="70.140625" style="46" customWidth="1"/>
    <col min="3" max="3" width="23.7109375" style="46" customWidth="1"/>
    <col min="4" max="4" width="28.5703125" style="46" customWidth="1"/>
    <col min="5" max="5" width="22.7109375" style="46" customWidth="1"/>
    <col min="6" max="6" width="34.5703125" style="46" customWidth="1"/>
    <col min="7" max="16384" width="8.85546875" style="46"/>
  </cols>
  <sheetData>
    <row r="1" spans="1:7" ht="27" thickBot="1">
      <c r="A1" s="70"/>
      <c r="B1" s="282" t="s">
        <v>0</v>
      </c>
      <c r="C1" s="283"/>
      <c r="D1" s="283"/>
      <c r="E1" s="283"/>
      <c r="F1" s="284"/>
      <c r="G1" s="70"/>
    </row>
    <row r="2" spans="1:7">
      <c r="B2" s="71" t="s">
        <v>1</v>
      </c>
      <c r="C2" s="286"/>
      <c r="D2" s="286"/>
      <c r="E2" s="286"/>
      <c r="F2" s="286"/>
    </row>
    <row r="3" spans="1:7">
      <c r="B3" s="72" t="s">
        <v>2</v>
      </c>
      <c r="C3" s="277"/>
      <c r="D3" s="277"/>
      <c r="E3" s="277"/>
      <c r="F3" s="277"/>
    </row>
    <row r="4" spans="1:7">
      <c r="B4" s="72" t="s">
        <v>3</v>
      </c>
      <c r="C4" s="277"/>
      <c r="D4" s="277"/>
      <c r="E4" s="277"/>
      <c r="F4" s="277"/>
    </row>
    <row r="5" spans="1:7">
      <c r="B5" s="72" t="s">
        <v>4</v>
      </c>
      <c r="C5" s="277"/>
      <c r="D5" s="277"/>
      <c r="E5" s="277"/>
      <c r="F5" s="277"/>
    </row>
    <row r="6" spans="1:7">
      <c r="B6" s="72" t="s">
        <v>5</v>
      </c>
      <c r="C6" s="277"/>
      <c r="D6" s="277"/>
      <c r="E6" s="277"/>
      <c r="F6" s="277"/>
    </row>
    <row r="7" spans="1:7">
      <c r="B7" s="72" t="s">
        <v>6</v>
      </c>
      <c r="C7" s="277"/>
      <c r="D7" s="277"/>
      <c r="E7" s="277"/>
      <c r="F7" s="277"/>
    </row>
    <row r="8" spans="1:7">
      <c r="B8" s="72" t="s">
        <v>16</v>
      </c>
      <c r="C8" s="277"/>
      <c r="D8" s="277"/>
      <c r="E8" s="277"/>
      <c r="F8" s="277"/>
    </row>
    <row r="9" spans="1:7" ht="45">
      <c r="B9" s="72" t="s">
        <v>7</v>
      </c>
      <c r="C9" s="277"/>
      <c r="D9" s="277"/>
      <c r="E9" s="277"/>
      <c r="F9" s="277"/>
    </row>
    <row r="10" spans="1:7">
      <c r="B10" s="72" t="s">
        <v>8</v>
      </c>
      <c r="C10" s="277"/>
      <c r="D10" s="277"/>
      <c r="E10" s="277"/>
      <c r="F10" s="277"/>
    </row>
    <row r="11" spans="1:7" ht="39" customHeight="1">
      <c r="B11" s="285" t="s">
        <v>9</v>
      </c>
      <c r="C11" s="72" t="s">
        <v>10</v>
      </c>
      <c r="D11" s="27"/>
      <c r="E11" s="72" t="s">
        <v>12</v>
      </c>
      <c r="F11" s="27"/>
    </row>
    <row r="12" spans="1:7" ht="33" customHeight="1">
      <c r="B12" s="285"/>
      <c r="C12" s="72" t="s">
        <v>11</v>
      </c>
      <c r="D12" s="27"/>
      <c r="E12" s="72" t="s">
        <v>13</v>
      </c>
      <c r="F12" s="27"/>
    </row>
    <row r="13" spans="1:7" ht="33" customHeight="1">
      <c r="B13" s="281" t="s">
        <v>14</v>
      </c>
      <c r="C13" s="72" t="s">
        <v>10</v>
      </c>
      <c r="D13" s="27"/>
      <c r="E13" s="72" t="s">
        <v>12</v>
      </c>
      <c r="F13" s="27"/>
    </row>
    <row r="14" spans="1:7" ht="33" customHeight="1">
      <c r="B14" s="281"/>
      <c r="C14" s="72" t="s">
        <v>15</v>
      </c>
      <c r="D14" s="27"/>
      <c r="E14" s="72" t="s">
        <v>13</v>
      </c>
      <c r="F14" s="27"/>
    </row>
    <row r="15" spans="1:7">
      <c r="B15" s="73" t="s">
        <v>17</v>
      </c>
      <c r="C15" s="277"/>
      <c r="D15" s="277"/>
      <c r="E15" s="277"/>
      <c r="F15" s="277"/>
    </row>
    <row r="16" spans="1:7" ht="58.5" customHeight="1">
      <c r="B16" s="74" t="s">
        <v>18</v>
      </c>
      <c r="C16" s="277"/>
      <c r="D16" s="277"/>
      <c r="E16" s="277"/>
      <c r="F16" s="277"/>
    </row>
    <row r="17" spans="2:6">
      <c r="B17" s="281" t="s">
        <v>67</v>
      </c>
      <c r="C17" s="77" t="s">
        <v>275</v>
      </c>
      <c r="D17" s="278"/>
      <c r="E17" s="279"/>
      <c r="F17" s="280"/>
    </row>
    <row r="18" spans="2:6">
      <c r="B18" s="281"/>
      <c r="C18" s="76" t="s">
        <v>276</v>
      </c>
      <c r="D18" s="278"/>
      <c r="E18" s="279"/>
      <c r="F18" s="280"/>
    </row>
    <row r="19" spans="2:6">
      <c r="B19" s="281"/>
      <c r="C19" s="76" t="s">
        <v>277</v>
      </c>
      <c r="D19" s="278"/>
      <c r="E19" s="279"/>
      <c r="F19" s="280"/>
    </row>
    <row r="20" spans="2:6">
      <c r="B20" s="281"/>
      <c r="C20" s="76" t="s">
        <v>278</v>
      </c>
      <c r="D20" s="278"/>
      <c r="E20" s="279"/>
      <c r="F20" s="280"/>
    </row>
  </sheetData>
  <sheetProtection algorithmName="SHA-512" hashValue="O7pR+S7pMKacKomiEES7xxqfyB9V9P1bDq8vGB/oKVdlsp5wltfFZhxkW04eAmBTo7rmFXa3Yia9csgfmmXp5g==" saltValue="Ny+SzuxLhdRQwPsDLwzIDw==" spinCount="100000" sheet="1" selectLockedCells="1"/>
  <mergeCells count="19">
    <mergeCell ref="B17:B20"/>
    <mergeCell ref="B1:F1"/>
    <mergeCell ref="C16:F16"/>
    <mergeCell ref="B11:B12"/>
    <mergeCell ref="B13:B14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D17:F17"/>
    <mergeCell ref="D18:F18"/>
    <mergeCell ref="D19:F19"/>
    <mergeCell ref="D20:F20"/>
    <mergeCell ref="C15:F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P54"/>
  <sheetViews>
    <sheetView rightToLeft="1" zoomScale="64" zoomScaleNormal="64" workbookViewId="0">
      <selection activeCell="M37" sqref="M37"/>
    </sheetView>
  </sheetViews>
  <sheetFormatPr defaultColWidth="8.85546875" defaultRowHeight="22.5"/>
  <cols>
    <col min="1" max="1" width="3.85546875" style="46" customWidth="1"/>
    <col min="2" max="2" width="26.28515625" style="46" customWidth="1"/>
    <col min="3" max="3" width="23.85546875" style="46" customWidth="1"/>
    <col min="4" max="4" width="32.28515625" style="46" customWidth="1"/>
    <col min="5" max="5" width="22.7109375" style="46" customWidth="1"/>
    <col min="6" max="6" width="17.85546875" style="46" customWidth="1"/>
    <col min="7" max="7" width="19.42578125" style="46" customWidth="1"/>
    <col min="8" max="8" width="23.140625" style="46" customWidth="1"/>
    <col min="9" max="9" width="19.42578125" style="46" customWidth="1"/>
    <col min="10" max="10" width="18.7109375" style="46" customWidth="1"/>
    <col min="11" max="11" width="18.28515625" style="46" customWidth="1"/>
    <col min="12" max="12" width="16.5703125" style="46" customWidth="1"/>
    <col min="13" max="13" width="19.140625" style="46" customWidth="1"/>
    <col min="14" max="14" width="18.7109375" style="46" hidden="1" customWidth="1"/>
    <col min="15" max="15" width="15.28515625" style="46" bestFit="1" customWidth="1"/>
    <col min="16" max="16" width="16.140625" style="46" customWidth="1"/>
    <col min="17" max="17" width="15.42578125" style="46" customWidth="1"/>
    <col min="18" max="18" width="14.7109375" style="46" bestFit="1" customWidth="1"/>
    <col min="19" max="16384" width="8.85546875" style="46"/>
  </cols>
  <sheetData>
    <row r="1" spans="2:8" ht="37.5" customHeight="1" thickBot="1">
      <c r="B1" s="318" t="s">
        <v>123</v>
      </c>
      <c r="C1" s="319"/>
      <c r="D1" s="320"/>
      <c r="E1" s="78"/>
      <c r="F1" s="78"/>
      <c r="G1" s="78"/>
      <c r="H1" s="78"/>
    </row>
    <row r="2" spans="2:8" ht="23.25" thickBot="1">
      <c r="B2" s="46" t="s">
        <v>121</v>
      </c>
    </row>
    <row r="3" spans="2:8" ht="24">
      <c r="B3" s="79" t="s">
        <v>19</v>
      </c>
      <c r="C3" s="80" t="s">
        <v>20</v>
      </c>
      <c r="D3" s="81" t="s">
        <v>21</v>
      </c>
    </row>
    <row r="4" spans="2:8">
      <c r="B4" s="82">
        <v>1</v>
      </c>
      <c r="C4" s="83" t="s">
        <v>91</v>
      </c>
      <c r="D4" s="84" t="s">
        <v>22</v>
      </c>
    </row>
    <row r="5" spans="2:8">
      <c r="B5" s="82">
        <v>2</v>
      </c>
      <c r="C5" s="83" t="s">
        <v>92</v>
      </c>
      <c r="D5" s="84" t="s">
        <v>23</v>
      </c>
    </row>
    <row r="6" spans="2:8" ht="38.25" customHeight="1" thickBot="1">
      <c r="B6" s="321" t="s">
        <v>24</v>
      </c>
      <c r="C6" s="322"/>
      <c r="D6" s="323"/>
    </row>
    <row r="7" spans="2:8" ht="23.25" thickBot="1"/>
    <row r="8" spans="2:8" ht="24.75" customHeight="1" thickBot="1">
      <c r="B8" s="296" t="s">
        <v>93</v>
      </c>
      <c r="C8" s="297"/>
      <c r="D8" s="298"/>
      <c r="G8" s="316" t="s">
        <v>90</v>
      </c>
      <c r="H8" s="317"/>
    </row>
    <row r="9" spans="2:8" ht="27" customHeight="1" thickBot="1">
      <c r="B9" s="46" t="s">
        <v>121</v>
      </c>
      <c r="G9" s="46" t="s">
        <v>121</v>
      </c>
    </row>
    <row r="10" spans="2:8" ht="25.5" customHeight="1">
      <c r="B10" s="85" t="s">
        <v>122</v>
      </c>
      <c r="C10" s="86" t="s">
        <v>25</v>
      </c>
      <c r="D10" s="86" t="s">
        <v>21</v>
      </c>
      <c r="E10" s="87" t="s">
        <v>26</v>
      </c>
      <c r="G10" s="88" t="s">
        <v>80</v>
      </c>
      <c r="H10" s="89" t="s">
        <v>30</v>
      </c>
    </row>
    <row r="11" spans="2:8" ht="27.75" customHeight="1">
      <c r="B11" s="90" t="s">
        <v>177</v>
      </c>
      <c r="C11" s="91">
        <v>2</v>
      </c>
      <c r="D11" s="91">
        <v>10</v>
      </c>
      <c r="E11" s="92">
        <v>20</v>
      </c>
      <c r="G11" s="93" t="s">
        <v>187</v>
      </c>
      <c r="H11" s="94">
        <v>1</v>
      </c>
    </row>
    <row r="12" spans="2:8" ht="27.75" customHeight="1">
      <c r="B12" s="90" t="s">
        <v>178</v>
      </c>
      <c r="C12" s="91">
        <v>4</v>
      </c>
      <c r="D12" s="91">
        <v>8</v>
      </c>
      <c r="E12" s="92">
        <v>32</v>
      </c>
      <c r="G12" s="93" t="s">
        <v>185</v>
      </c>
      <c r="H12" s="94">
        <v>0.5</v>
      </c>
    </row>
    <row r="13" spans="2:8" ht="27.75" customHeight="1">
      <c r="B13" s="90" t="s">
        <v>179</v>
      </c>
      <c r="C13" s="91">
        <v>10</v>
      </c>
      <c r="D13" s="91">
        <v>8</v>
      </c>
      <c r="E13" s="92">
        <v>80</v>
      </c>
      <c r="G13" s="93" t="s">
        <v>186</v>
      </c>
      <c r="H13" s="94">
        <v>0.5</v>
      </c>
    </row>
    <row r="14" spans="2:8" ht="27.75" customHeight="1">
      <c r="B14" s="90" t="s">
        <v>180</v>
      </c>
      <c r="C14" s="91">
        <v>25</v>
      </c>
      <c r="D14" s="91">
        <v>4</v>
      </c>
      <c r="E14" s="92">
        <v>100</v>
      </c>
      <c r="G14" s="93" t="s">
        <v>76</v>
      </c>
      <c r="H14" s="94">
        <v>0.3</v>
      </c>
    </row>
    <row r="15" spans="2:8" ht="24.75" thickBot="1">
      <c r="B15" s="95" t="s">
        <v>181</v>
      </c>
      <c r="C15" s="91">
        <v>35</v>
      </c>
      <c r="D15" s="91">
        <v>3</v>
      </c>
      <c r="E15" s="92">
        <v>100</v>
      </c>
      <c r="G15" s="96" t="s">
        <v>78</v>
      </c>
      <c r="H15" s="97">
        <v>0.4</v>
      </c>
    </row>
    <row r="16" spans="2:8" ht="24.75" thickBot="1">
      <c r="B16" s="98" t="s">
        <v>182</v>
      </c>
      <c r="C16" s="99">
        <v>100</v>
      </c>
      <c r="D16" s="99">
        <v>1</v>
      </c>
      <c r="E16" s="100">
        <v>100</v>
      </c>
    </row>
    <row r="17" spans="2:16" ht="23.25" thickBot="1"/>
    <row r="18" spans="2:16" ht="24.75" thickBot="1">
      <c r="B18" s="293" t="s">
        <v>94</v>
      </c>
      <c r="C18" s="294"/>
      <c r="D18" s="295"/>
      <c r="G18" s="293" t="s">
        <v>98</v>
      </c>
      <c r="H18" s="295"/>
    </row>
    <row r="19" spans="2:16" ht="23.25" thickBot="1">
      <c r="B19" s="46" t="s">
        <v>121</v>
      </c>
      <c r="G19" s="46" t="s">
        <v>121</v>
      </c>
    </row>
    <row r="20" spans="2:16" ht="23.25" customHeight="1">
      <c r="B20" s="101" t="s">
        <v>27</v>
      </c>
      <c r="C20" s="102" t="s">
        <v>25</v>
      </c>
      <c r="D20" s="102" t="s">
        <v>21</v>
      </c>
      <c r="E20" s="103" t="s">
        <v>26</v>
      </c>
      <c r="G20" s="88" t="s">
        <v>80</v>
      </c>
      <c r="H20" s="89" t="s">
        <v>30</v>
      </c>
    </row>
    <row r="21" spans="2:16" ht="37.5">
      <c r="B21" s="104" t="s">
        <v>183</v>
      </c>
      <c r="C21" s="105">
        <v>5</v>
      </c>
      <c r="D21" s="105">
        <v>5</v>
      </c>
      <c r="E21" s="106">
        <v>25</v>
      </c>
      <c r="G21" s="107" t="s">
        <v>28</v>
      </c>
      <c r="H21" s="94">
        <v>1</v>
      </c>
    </row>
    <row r="22" spans="2:16">
      <c r="B22" s="104" t="s">
        <v>28</v>
      </c>
      <c r="C22" s="105">
        <v>5</v>
      </c>
      <c r="D22" s="105">
        <v>5</v>
      </c>
      <c r="E22" s="106">
        <v>25</v>
      </c>
      <c r="G22" s="107" t="s">
        <v>77</v>
      </c>
      <c r="H22" s="94">
        <v>0.4</v>
      </c>
    </row>
    <row r="23" spans="2:16" ht="24.75" thickBot="1">
      <c r="B23" s="290" t="s">
        <v>135</v>
      </c>
      <c r="C23" s="291"/>
      <c r="D23" s="292"/>
      <c r="E23" s="108">
        <v>50</v>
      </c>
      <c r="G23" s="107" t="s">
        <v>81</v>
      </c>
      <c r="H23" s="94">
        <v>0.6</v>
      </c>
    </row>
    <row r="24" spans="2:16">
      <c r="B24" s="44"/>
      <c r="C24" s="44"/>
      <c r="D24" s="44"/>
      <c r="E24" s="44"/>
      <c r="G24" s="107" t="s">
        <v>78</v>
      </c>
      <c r="H24" s="94">
        <v>0.4</v>
      </c>
    </row>
    <row r="25" spans="2:16" ht="23.25" thickBot="1">
      <c r="B25" s="44"/>
      <c r="C25" s="44"/>
      <c r="D25" s="44"/>
      <c r="E25" s="44"/>
      <c r="G25" s="109" t="s">
        <v>79</v>
      </c>
      <c r="H25" s="97">
        <v>0.3</v>
      </c>
    </row>
    <row r="26" spans="2:16" ht="30.75" customHeight="1" thickBot="1">
      <c r="B26" s="324" t="s">
        <v>160</v>
      </c>
      <c r="C26" s="325"/>
      <c r="D26" s="326"/>
      <c r="E26" s="44"/>
    </row>
    <row r="27" spans="2:16" ht="39.75" thickBot="1">
      <c r="B27" s="110" t="s">
        <v>31</v>
      </c>
      <c r="C27" s="111" t="s">
        <v>37</v>
      </c>
      <c r="D27" s="111" t="s">
        <v>116</v>
      </c>
      <c r="E27" s="111" t="s">
        <v>80</v>
      </c>
      <c r="F27" s="111" t="s">
        <v>53</v>
      </c>
      <c r="G27" s="111" t="s">
        <v>95</v>
      </c>
      <c r="H27" s="111" t="s">
        <v>96</v>
      </c>
      <c r="I27" s="111" t="s">
        <v>97</v>
      </c>
      <c r="J27" s="111" t="s">
        <v>38</v>
      </c>
      <c r="K27" s="111" t="s">
        <v>39</v>
      </c>
      <c r="L27" s="111" t="s">
        <v>40</v>
      </c>
      <c r="M27" s="234" t="s">
        <v>41</v>
      </c>
      <c r="N27" s="111" t="s">
        <v>82</v>
      </c>
      <c r="O27" s="111" t="s">
        <v>83</v>
      </c>
      <c r="P27" s="44"/>
    </row>
    <row r="28" spans="2:16" ht="24">
      <c r="B28" s="112" t="s">
        <v>32</v>
      </c>
      <c r="C28" s="28"/>
      <c r="D28" s="33"/>
      <c r="E28" s="13"/>
      <c r="F28" s="28"/>
      <c r="G28" s="28"/>
      <c r="H28" s="28"/>
      <c r="I28" s="28"/>
      <c r="J28" s="28"/>
      <c r="K28" s="28"/>
      <c r="L28" s="28"/>
      <c r="M28" s="236"/>
      <c r="N28" s="113">
        <f t="shared" ref="N28:N37" si="0">IF(D28="",0,VLOOKUP(D28,$B$11:$C$16,2,FALSE))</f>
        <v>0</v>
      </c>
      <c r="O28" s="113">
        <f t="shared" ref="O28:O37" si="1">IF(E28="",0,N28*(VLOOKUP(E28,$G$11:$H$15,2,FALSE)))</f>
        <v>0</v>
      </c>
      <c r="P28" s="44"/>
    </row>
    <row r="29" spans="2:16" ht="24">
      <c r="B29" s="114" t="s">
        <v>33</v>
      </c>
      <c r="C29" s="27"/>
      <c r="D29" s="33"/>
      <c r="E29" s="13"/>
      <c r="F29" s="27"/>
      <c r="G29" s="27"/>
      <c r="H29" s="27"/>
      <c r="I29" s="27"/>
      <c r="J29" s="27"/>
      <c r="K29" s="27"/>
      <c r="L29" s="27"/>
      <c r="M29" s="230"/>
      <c r="N29" s="113">
        <f t="shared" si="0"/>
        <v>0</v>
      </c>
      <c r="O29" s="113">
        <f t="shared" si="1"/>
        <v>0</v>
      </c>
      <c r="P29" s="44"/>
    </row>
    <row r="30" spans="2:16" ht="24">
      <c r="B30" s="114" t="s">
        <v>34</v>
      </c>
      <c r="C30" s="27"/>
      <c r="D30" s="33"/>
      <c r="E30" s="13"/>
      <c r="F30" s="27"/>
      <c r="G30" s="27"/>
      <c r="H30" s="27"/>
      <c r="I30" s="27"/>
      <c r="J30" s="27"/>
      <c r="K30" s="27"/>
      <c r="L30" s="27"/>
      <c r="M30" s="230"/>
      <c r="N30" s="113">
        <f t="shared" si="0"/>
        <v>0</v>
      </c>
      <c r="O30" s="113">
        <f t="shared" si="1"/>
        <v>0</v>
      </c>
      <c r="P30" s="44"/>
    </row>
    <row r="31" spans="2:16" ht="24">
      <c r="B31" s="114" t="s">
        <v>35</v>
      </c>
      <c r="C31" s="27"/>
      <c r="D31" s="33"/>
      <c r="E31" s="13"/>
      <c r="F31" s="27"/>
      <c r="G31" s="27"/>
      <c r="H31" s="27"/>
      <c r="I31" s="27"/>
      <c r="J31" s="27"/>
      <c r="K31" s="27"/>
      <c r="L31" s="27"/>
      <c r="M31" s="230"/>
      <c r="N31" s="113">
        <f t="shared" si="0"/>
        <v>0</v>
      </c>
      <c r="O31" s="113">
        <f t="shared" si="1"/>
        <v>0</v>
      </c>
      <c r="P31" s="44"/>
    </row>
    <row r="32" spans="2:16" ht="24">
      <c r="B32" s="114" t="s">
        <v>36</v>
      </c>
      <c r="C32" s="27"/>
      <c r="D32" s="33"/>
      <c r="E32" s="13"/>
      <c r="F32" s="27"/>
      <c r="G32" s="27"/>
      <c r="H32" s="27"/>
      <c r="I32" s="27"/>
      <c r="J32" s="27"/>
      <c r="K32" s="27"/>
      <c r="L32" s="27"/>
      <c r="M32" s="230"/>
      <c r="N32" s="113">
        <f t="shared" si="0"/>
        <v>0</v>
      </c>
      <c r="O32" s="113">
        <f t="shared" si="1"/>
        <v>0</v>
      </c>
      <c r="P32" s="44"/>
    </row>
    <row r="33" spans="2:16" ht="24">
      <c r="B33" s="114" t="s">
        <v>48</v>
      </c>
      <c r="C33" s="27"/>
      <c r="D33" s="33"/>
      <c r="E33" s="13"/>
      <c r="F33" s="27"/>
      <c r="G33" s="27"/>
      <c r="H33" s="27"/>
      <c r="I33" s="27"/>
      <c r="J33" s="27"/>
      <c r="K33" s="27"/>
      <c r="L33" s="27"/>
      <c r="M33" s="230"/>
      <c r="N33" s="113">
        <f t="shared" si="0"/>
        <v>0</v>
      </c>
      <c r="O33" s="113">
        <f t="shared" si="1"/>
        <v>0</v>
      </c>
      <c r="P33" s="44"/>
    </row>
    <row r="34" spans="2:16" ht="24">
      <c r="B34" s="114" t="s">
        <v>49</v>
      </c>
      <c r="C34" s="27"/>
      <c r="D34" s="33"/>
      <c r="E34" s="13"/>
      <c r="F34" s="27"/>
      <c r="G34" s="27"/>
      <c r="H34" s="27"/>
      <c r="I34" s="27"/>
      <c r="J34" s="27"/>
      <c r="K34" s="27"/>
      <c r="L34" s="27"/>
      <c r="M34" s="230"/>
      <c r="N34" s="113">
        <f t="shared" si="0"/>
        <v>0</v>
      </c>
      <c r="O34" s="113">
        <f t="shared" si="1"/>
        <v>0</v>
      </c>
      <c r="P34" s="44"/>
    </row>
    <row r="35" spans="2:16" ht="24">
      <c r="B35" s="114" t="s">
        <v>50</v>
      </c>
      <c r="C35" s="27"/>
      <c r="D35" s="33"/>
      <c r="E35" s="13"/>
      <c r="F35" s="27"/>
      <c r="G35" s="27"/>
      <c r="H35" s="27"/>
      <c r="I35" s="27"/>
      <c r="J35" s="27"/>
      <c r="K35" s="27"/>
      <c r="L35" s="27"/>
      <c r="M35" s="230"/>
      <c r="N35" s="113">
        <f t="shared" si="0"/>
        <v>0</v>
      </c>
      <c r="O35" s="113">
        <f t="shared" si="1"/>
        <v>0</v>
      </c>
      <c r="P35" s="44"/>
    </row>
    <row r="36" spans="2:16" ht="24">
      <c r="B36" s="114" t="s">
        <v>51</v>
      </c>
      <c r="C36" s="27"/>
      <c r="D36" s="33"/>
      <c r="E36" s="13"/>
      <c r="F36" s="27"/>
      <c r="G36" s="27"/>
      <c r="H36" s="27"/>
      <c r="I36" s="27"/>
      <c r="J36" s="27"/>
      <c r="K36" s="27"/>
      <c r="L36" s="27"/>
      <c r="M36" s="230"/>
      <c r="N36" s="113">
        <f t="shared" si="0"/>
        <v>0</v>
      </c>
      <c r="O36" s="113">
        <f t="shared" si="1"/>
        <v>0</v>
      </c>
      <c r="P36" s="44"/>
    </row>
    <row r="37" spans="2:16" ht="24">
      <c r="B37" s="114" t="s">
        <v>52</v>
      </c>
      <c r="C37" s="27"/>
      <c r="D37" s="33"/>
      <c r="E37" s="13"/>
      <c r="F37" s="27"/>
      <c r="G37" s="27"/>
      <c r="H37" s="27"/>
      <c r="I37" s="27"/>
      <c r="J37" s="27"/>
      <c r="K37" s="27"/>
      <c r="L37" s="27"/>
      <c r="M37" s="230"/>
      <c r="N37" s="113">
        <f t="shared" si="0"/>
        <v>0</v>
      </c>
      <c r="O37" s="113">
        <f t="shared" si="1"/>
        <v>0</v>
      </c>
      <c r="P37" s="44"/>
    </row>
    <row r="38" spans="2:16" ht="24.75" thickBot="1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233" t="s">
        <v>54</v>
      </c>
      <c r="N38" s="115">
        <f>SUM(N28:N37)</f>
        <v>0</v>
      </c>
      <c r="O38" s="115">
        <f>SUM(O28:O37)</f>
        <v>0</v>
      </c>
    </row>
    <row r="39" spans="2:16" ht="24.75" thickBot="1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232" t="s">
        <v>99</v>
      </c>
      <c r="N39" s="116"/>
      <c r="O39" s="117">
        <f>IF(O38&gt;100,100,O38)</f>
        <v>0</v>
      </c>
    </row>
    <row r="40" spans="2:16" ht="30.75" customHeight="1" thickBot="1">
      <c r="B40" s="44"/>
      <c r="E40" s="44"/>
    </row>
    <row r="41" spans="2:16" ht="32.25" customHeight="1" thickBot="1">
      <c r="B41" s="287" t="s">
        <v>167</v>
      </c>
      <c r="C41" s="288"/>
      <c r="D41" s="289"/>
      <c r="E41" s="44"/>
      <c r="F41" s="44"/>
    </row>
    <row r="42" spans="2:16" ht="39.75" thickBot="1">
      <c r="B42" s="110" t="s">
        <v>31</v>
      </c>
      <c r="C42" s="111" t="s">
        <v>37</v>
      </c>
      <c r="D42" s="111" t="s">
        <v>27</v>
      </c>
      <c r="E42" s="111" t="s">
        <v>80</v>
      </c>
      <c r="F42" s="111" t="s">
        <v>53</v>
      </c>
      <c r="G42" s="111" t="s">
        <v>95</v>
      </c>
      <c r="H42" s="111" t="s">
        <v>96</v>
      </c>
      <c r="I42" s="111" t="s">
        <v>97</v>
      </c>
      <c r="J42" s="111" t="s">
        <v>38</v>
      </c>
      <c r="K42" s="111" t="s">
        <v>39</v>
      </c>
      <c r="L42" s="111" t="s">
        <v>40</v>
      </c>
      <c r="M42" s="234" t="s">
        <v>41</v>
      </c>
      <c r="N42" s="111" t="s">
        <v>82</v>
      </c>
      <c r="O42" s="118" t="s">
        <v>83</v>
      </c>
      <c r="P42" s="44"/>
    </row>
    <row r="43" spans="2:16" ht="24">
      <c r="B43" s="112" t="s">
        <v>32</v>
      </c>
      <c r="C43" s="28"/>
      <c r="D43" s="14"/>
      <c r="E43" s="14"/>
      <c r="F43" s="28"/>
      <c r="G43" s="28"/>
      <c r="H43" s="28"/>
      <c r="I43" s="28"/>
      <c r="J43" s="28"/>
      <c r="K43" s="28"/>
      <c r="L43" s="28"/>
      <c r="M43" s="236"/>
      <c r="N43" s="113">
        <f>IF(D43="",0,VLOOKUP(D43,$B$21:$C$22,2,FALSE))</f>
        <v>0</v>
      </c>
      <c r="O43" s="113">
        <f>IF(E43="",0,VLOOKUP(E43,$G$21:$H$25,2,FALSE))*N43</f>
        <v>0</v>
      </c>
      <c r="P43" s="44"/>
    </row>
    <row r="44" spans="2:16" ht="24">
      <c r="B44" s="114" t="s">
        <v>33</v>
      </c>
      <c r="C44" s="27"/>
      <c r="D44" s="4"/>
      <c r="E44" s="4"/>
      <c r="F44" s="27"/>
      <c r="G44" s="27"/>
      <c r="H44" s="27"/>
      <c r="I44" s="27"/>
      <c r="J44" s="27"/>
      <c r="K44" s="27"/>
      <c r="L44" s="27"/>
      <c r="M44" s="230"/>
      <c r="N44" s="113">
        <f>IF(D44="",0,VLOOKUP(D44,$B$21:$C$22,2,FALSE))</f>
        <v>0</v>
      </c>
      <c r="O44" s="113">
        <f>IF(E44="",0,VLOOKUP(E44,$G$21:$H$25,2,FALSE))*N44</f>
        <v>0</v>
      </c>
      <c r="P44" s="44"/>
    </row>
    <row r="45" spans="2:16" ht="24">
      <c r="B45" s="114" t="s">
        <v>34</v>
      </c>
      <c r="C45" s="27"/>
      <c r="D45" s="4"/>
      <c r="E45" s="4"/>
      <c r="F45" s="27"/>
      <c r="G45" s="27"/>
      <c r="H45" s="27"/>
      <c r="I45" s="27"/>
      <c r="J45" s="27"/>
      <c r="K45" s="27"/>
      <c r="L45" s="27"/>
      <c r="M45" s="230"/>
      <c r="N45" s="113">
        <f>IF(D45="",0,VLOOKUP(D45,$B$21:$C$22,2,FALSE))</f>
        <v>0</v>
      </c>
      <c r="O45" s="113">
        <f>IF(E45="",0,VLOOKUP(E45,$G$21:$H$25,2,FALSE))*N45</f>
        <v>0</v>
      </c>
      <c r="P45" s="44"/>
    </row>
    <row r="46" spans="2:16" ht="24">
      <c r="B46" s="114" t="s">
        <v>35</v>
      </c>
      <c r="C46" s="27"/>
      <c r="D46" s="4"/>
      <c r="E46" s="4"/>
      <c r="F46" s="27"/>
      <c r="G46" s="27"/>
      <c r="H46" s="27"/>
      <c r="I46" s="27"/>
      <c r="J46" s="27"/>
      <c r="K46" s="27"/>
      <c r="L46" s="27"/>
      <c r="M46" s="230"/>
      <c r="N46" s="113">
        <f>IF(D46="",0,VLOOKUP(D46,$B$21:$C$22,2,FALSE))</f>
        <v>0</v>
      </c>
      <c r="O46" s="113">
        <f>IF(E46="",0,VLOOKUP(E46,$G$21:$H$25,2,FALSE))*N46</f>
        <v>0</v>
      </c>
      <c r="P46" s="44"/>
    </row>
    <row r="47" spans="2:16" ht="24.75" thickBot="1">
      <c r="B47" s="114" t="s">
        <v>36</v>
      </c>
      <c r="C47" s="27"/>
      <c r="D47" s="4"/>
      <c r="E47" s="4"/>
      <c r="F47" s="27"/>
      <c r="G47" s="27"/>
      <c r="H47" s="27"/>
      <c r="I47" s="27"/>
      <c r="J47" s="27"/>
      <c r="K47" s="27"/>
      <c r="L47" s="27"/>
      <c r="M47" s="235"/>
      <c r="N47" s="119">
        <f>IF(D47="",0,VLOOKUP(D47,$B$21:$C$22,2,FALSE))</f>
        <v>0</v>
      </c>
      <c r="O47" s="119">
        <f>IF(E47="",0,VLOOKUP(E47,$G$21:$H$25,2,FALSE))*N47</f>
        <v>0</v>
      </c>
      <c r="P47" s="44"/>
    </row>
    <row r="48" spans="2:16" ht="23.25" customHeight="1" thickBot="1">
      <c r="B48" s="44"/>
      <c r="C48" s="44"/>
      <c r="D48" s="44"/>
      <c r="E48" s="44"/>
      <c r="F48" s="44"/>
      <c r="G48" s="44"/>
      <c r="H48" s="44"/>
      <c r="I48" s="44"/>
      <c r="J48" s="44"/>
      <c r="M48" s="232" t="s">
        <v>54</v>
      </c>
      <c r="N48" s="120">
        <f>SUM(N43:N47)</f>
        <v>0</v>
      </c>
      <c r="O48" s="121">
        <f>SUM(O43:O47)</f>
        <v>0</v>
      </c>
    </row>
    <row r="49" spans="2:16" ht="30.75" thickBot="1">
      <c r="B49" s="301" t="s">
        <v>120</v>
      </c>
      <c r="C49" s="302"/>
      <c r="D49" s="302"/>
      <c r="E49" s="303"/>
      <c r="M49" s="231" t="s">
        <v>99</v>
      </c>
      <c r="N49" s="122"/>
      <c r="O49" s="123">
        <f>IF(O48&gt;50,50,O48)</f>
        <v>0</v>
      </c>
      <c r="P49" s="44"/>
    </row>
    <row r="50" spans="2:16">
      <c r="B50" s="304" t="s">
        <v>168</v>
      </c>
      <c r="C50" s="305"/>
      <c r="D50" s="306"/>
      <c r="E50" s="124">
        <f>O39</f>
        <v>0</v>
      </c>
    </row>
    <row r="51" spans="2:16" ht="31.5" customHeight="1">
      <c r="B51" s="307" t="s">
        <v>169</v>
      </c>
      <c r="C51" s="308"/>
      <c r="D51" s="309"/>
      <c r="E51" s="125">
        <f>O49</f>
        <v>0</v>
      </c>
    </row>
    <row r="52" spans="2:16" ht="29.25" customHeight="1">
      <c r="B52" s="310" t="s">
        <v>54</v>
      </c>
      <c r="C52" s="311"/>
      <c r="D52" s="312"/>
      <c r="E52" s="126">
        <f>SUM(E50:E51)</f>
        <v>0</v>
      </c>
    </row>
    <row r="53" spans="2:16" ht="23.25" thickBot="1">
      <c r="B53" s="313" t="s">
        <v>117</v>
      </c>
      <c r="C53" s="314"/>
      <c r="D53" s="315"/>
      <c r="E53" s="127">
        <f>IF(E52&gt;100,100,E52)</f>
        <v>0</v>
      </c>
    </row>
    <row r="54" spans="2:16" ht="24.75" thickBot="1">
      <c r="B54" s="264" t="s">
        <v>83</v>
      </c>
      <c r="C54" s="299"/>
      <c r="D54" s="300"/>
      <c r="E54" s="128">
        <f>E53*25%</f>
        <v>0</v>
      </c>
    </row>
  </sheetData>
  <sheetProtection algorithmName="SHA-512" hashValue="xymbxg2jD5kQUQK3ErvUzyqbJVrVtbpnI2wTSzFZUBJGCgrT3XaTxpETMxQT3VoIh648Dmo1ETbWj/k9hqbJcg==" saltValue="nalzJYjg+/SSWuDH3Axtug==" spinCount="100000" sheet="1" selectLockedCells="1"/>
  <mergeCells count="15">
    <mergeCell ref="G8:H8"/>
    <mergeCell ref="G18:H18"/>
    <mergeCell ref="B1:D1"/>
    <mergeCell ref="B6:D6"/>
    <mergeCell ref="B26:D26"/>
    <mergeCell ref="B41:D41"/>
    <mergeCell ref="B23:D23"/>
    <mergeCell ref="B18:D18"/>
    <mergeCell ref="B8:D8"/>
    <mergeCell ref="B54:D54"/>
    <mergeCell ref="B49:E49"/>
    <mergeCell ref="B50:D50"/>
    <mergeCell ref="B51:D51"/>
    <mergeCell ref="B52:D52"/>
    <mergeCell ref="B53:D53"/>
  </mergeCells>
  <dataValidations count="4">
    <dataValidation type="list" allowBlank="1" showInputMessage="1" showErrorMessage="1" sqref="D28:D37">
      <formula1>$B$11:$B$16</formula1>
    </dataValidation>
    <dataValidation type="list" allowBlank="1" showInputMessage="1" showErrorMessage="1" sqref="D43:D47">
      <formula1>$B$21:$B$22</formula1>
    </dataValidation>
    <dataValidation type="list" allowBlank="1" showInputMessage="1" showErrorMessage="1" sqref="E43:E47">
      <formula1>$G$21:$G$25</formula1>
    </dataValidation>
    <dataValidation type="list" allowBlank="1" showInputMessage="1" showErrorMessage="1" sqref="E28:E37">
      <formula1>$G$11:$G$15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H32"/>
  <sheetViews>
    <sheetView rightToLeft="1" topLeftCell="A16" zoomScale="90" zoomScaleNormal="90" workbookViewId="0">
      <selection activeCell="H25" sqref="H25"/>
    </sheetView>
  </sheetViews>
  <sheetFormatPr defaultColWidth="8.85546875" defaultRowHeight="22.5"/>
  <cols>
    <col min="1" max="1" width="4.5703125" style="46" customWidth="1"/>
    <col min="2" max="2" width="6" style="46" customWidth="1"/>
    <col min="3" max="3" width="41.140625" style="46" customWidth="1"/>
    <col min="4" max="4" width="26.7109375" style="46" customWidth="1"/>
    <col min="5" max="5" width="16.140625" style="46" customWidth="1"/>
    <col min="6" max="6" width="16.85546875" style="46" customWidth="1"/>
    <col min="7" max="7" width="17.140625" style="46" customWidth="1"/>
    <col min="8" max="8" width="16" style="46" customWidth="1"/>
    <col min="9" max="13" width="15" style="46" customWidth="1"/>
    <col min="14" max="16" width="22.28515625" style="46" customWidth="1"/>
    <col min="17" max="17" width="22.140625" style="46" customWidth="1"/>
    <col min="18" max="18" width="21.28515625" style="46" customWidth="1"/>
    <col min="19" max="16384" width="8.85546875" style="46"/>
  </cols>
  <sheetData>
    <row r="1" spans="2:8" ht="30.75" thickBot="1">
      <c r="B1" s="318" t="s">
        <v>124</v>
      </c>
      <c r="C1" s="319"/>
      <c r="D1" s="319"/>
      <c r="E1" s="319"/>
      <c r="F1" s="319"/>
      <c r="G1" s="319"/>
      <c r="H1" s="320"/>
    </row>
    <row r="2" spans="2:8" ht="24">
      <c r="C2" s="333" t="s">
        <v>68</v>
      </c>
      <c r="D2" s="333"/>
      <c r="E2" s="333"/>
      <c r="F2" s="333"/>
      <c r="G2" s="333"/>
    </row>
    <row r="3" spans="2:8" ht="23.25" thickBot="1">
      <c r="C3" s="46" t="s">
        <v>121</v>
      </c>
    </row>
    <row r="4" spans="2:8">
      <c r="B4" s="327" t="s">
        <v>19</v>
      </c>
      <c r="C4" s="344" t="s">
        <v>29</v>
      </c>
      <c r="D4" s="347" t="s">
        <v>55</v>
      </c>
      <c r="E4" s="348"/>
      <c r="F4" s="348"/>
      <c r="G4" s="349"/>
      <c r="H4" s="129" t="s">
        <v>56</v>
      </c>
    </row>
    <row r="5" spans="2:8" ht="18.75" customHeight="1" thickBot="1">
      <c r="B5" s="328"/>
      <c r="C5" s="345"/>
      <c r="D5" s="350" t="s">
        <v>128</v>
      </c>
      <c r="E5" s="351"/>
      <c r="F5" s="351"/>
      <c r="G5" s="352"/>
      <c r="H5" s="130" t="s">
        <v>129</v>
      </c>
    </row>
    <row r="6" spans="2:8" ht="23.25" thickBot="1">
      <c r="B6" s="329"/>
      <c r="C6" s="346"/>
      <c r="D6" s="131" t="s">
        <v>57</v>
      </c>
      <c r="E6" s="131" t="s">
        <v>58</v>
      </c>
      <c r="F6" s="131" t="s">
        <v>59</v>
      </c>
      <c r="G6" s="131" t="s">
        <v>60</v>
      </c>
      <c r="H6" s="132"/>
    </row>
    <row r="7" spans="2:8" ht="23.25" thickBot="1">
      <c r="B7" s="133">
        <v>1</v>
      </c>
      <c r="C7" s="134" t="s">
        <v>61</v>
      </c>
      <c r="D7" s="135">
        <v>100</v>
      </c>
      <c r="E7" s="135">
        <v>80</v>
      </c>
      <c r="F7" s="135">
        <v>50</v>
      </c>
      <c r="G7" s="135">
        <v>0</v>
      </c>
      <c r="H7" s="136">
        <v>3</v>
      </c>
    </row>
    <row r="8" spans="2:8" ht="23.25" thickBot="1">
      <c r="B8" s="133">
        <v>2</v>
      </c>
      <c r="C8" s="134" t="s">
        <v>62</v>
      </c>
      <c r="D8" s="135">
        <v>100</v>
      </c>
      <c r="E8" s="135">
        <v>80</v>
      </c>
      <c r="F8" s="135">
        <v>50</v>
      </c>
      <c r="G8" s="135">
        <v>0</v>
      </c>
      <c r="H8" s="136">
        <v>2</v>
      </c>
    </row>
    <row r="9" spans="2:8" ht="23.25" thickBot="1">
      <c r="B9" s="133">
        <v>3</v>
      </c>
      <c r="C9" s="134" t="s">
        <v>63</v>
      </c>
      <c r="D9" s="135">
        <v>100</v>
      </c>
      <c r="E9" s="135">
        <v>80</v>
      </c>
      <c r="F9" s="135">
        <v>50</v>
      </c>
      <c r="G9" s="135">
        <v>0</v>
      </c>
      <c r="H9" s="136">
        <v>2</v>
      </c>
    </row>
    <row r="10" spans="2:8" ht="36.75" customHeight="1" thickBot="1">
      <c r="B10" s="133">
        <v>4</v>
      </c>
      <c r="C10" s="134" t="s">
        <v>64</v>
      </c>
      <c r="D10" s="135">
        <v>100</v>
      </c>
      <c r="E10" s="135">
        <v>80</v>
      </c>
      <c r="F10" s="135">
        <v>50</v>
      </c>
      <c r="G10" s="135">
        <v>0</v>
      </c>
      <c r="H10" s="136">
        <v>1</v>
      </c>
    </row>
    <row r="11" spans="2:8" ht="62.25" customHeight="1" thickBot="1">
      <c r="B11" s="133">
        <v>5</v>
      </c>
      <c r="C11" s="137" t="s">
        <v>65</v>
      </c>
      <c r="D11" s="135">
        <v>100</v>
      </c>
      <c r="E11" s="135">
        <v>80</v>
      </c>
      <c r="F11" s="135">
        <v>50</v>
      </c>
      <c r="G11" s="135">
        <v>0</v>
      </c>
      <c r="H11" s="136">
        <v>1</v>
      </c>
    </row>
    <row r="12" spans="2:8" ht="23.25" thickBot="1">
      <c r="B12" s="133">
        <v>6</v>
      </c>
      <c r="C12" s="134" t="s">
        <v>66</v>
      </c>
      <c r="D12" s="135">
        <v>100</v>
      </c>
      <c r="E12" s="135">
        <v>80</v>
      </c>
      <c r="F12" s="135">
        <v>50</v>
      </c>
      <c r="G12" s="135">
        <v>0</v>
      </c>
      <c r="H12" s="136">
        <v>1</v>
      </c>
    </row>
    <row r="13" spans="2:8" ht="33.6" customHeight="1" thickBot="1">
      <c r="C13" s="330"/>
      <c r="D13" s="331"/>
      <c r="E13" s="331"/>
      <c r="F13" s="331"/>
      <c r="G13" s="331"/>
      <c r="H13" s="332"/>
    </row>
    <row r="14" spans="2:8" ht="23.25" thickBot="1"/>
    <row r="15" spans="2:8" ht="27" thickBot="1">
      <c r="C15" s="353" t="s">
        <v>166</v>
      </c>
      <c r="D15" s="354"/>
      <c r="E15" s="354"/>
      <c r="F15" s="354"/>
      <c r="G15" s="354"/>
      <c r="H15" s="355"/>
    </row>
    <row r="16" spans="2:8" ht="23.25" thickBot="1"/>
    <row r="17" spans="3:8" ht="24.75" thickBot="1">
      <c r="C17" s="110" t="s">
        <v>31</v>
      </c>
      <c r="D17" s="138" t="s">
        <v>32</v>
      </c>
      <c r="E17" s="138" t="s">
        <v>33</v>
      </c>
      <c r="F17" s="138" t="s">
        <v>34</v>
      </c>
      <c r="G17" s="138" t="s">
        <v>35</v>
      </c>
      <c r="H17" s="138" t="s">
        <v>36</v>
      </c>
    </row>
    <row r="18" spans="3:8" ht="24">
      <c r="C18" s="112" t="s">
        <v>163</v>
      </c>
      <c r="D18" s="36"/>
      <c r="E18" s="36"/>
      <c r="F18" s="36"/>
      <c r="G18" s="36"/>
      <c r="H18" s="36"/>
    </row>
    <row r="19" spans="3:8" ht="24">
      <c r="C19" s="112" t="s">
        <v>74</v>
      </c>
      <c r="D19" s="29"/>
      <c r="E19" s="29"/>
      <c r="F19" s="29"/>
      <c r="G19" s="29"/>
      <c r="H19" s="29"/>
    </row>
    <row r="20" spans="3:8" ht="24">
      <c r="C20" s="114" t="s">
        <v>75</v>
      </c>
      <c r="D20" s="30"/>
      <c r="E20" s="30"/>
      <c r="F20" s="30"/>
      <c r="G20" s="30"/>
      <c r="H20" s="30"/>
    </row>
    <row r="21" spans="3:8">
      <c r="C21" s="139" t="s">
        <v>61</v>
      </c>
      <c r="D21" s="5"/>
      <c r="E21" s="5"/>
      <c r="F21" s="5"/>
      <c r="G21" s="5"/>
      <c r="H21" s="5"/>
    </row>
    <row r="22" spans="3:8">
      <c r="C22" s="139" t="s">
        <v>62</v>
      </c>
      <c r="D22" s="5"/>
      <c r="E22" s="5"/>
      <c r="F22" s="5"/>
      <c r="G22" s="5"/>
      <c r="H22" s="5"/>
    </row>
    <row r="23" spans="3:8">
      <c r="C23" s="139" t="s">
        <v>63</v>
      </c>
      <c r="D23" s="5"/>
      <c r="E23" s="5"/>
      <c r="F23" s="5"/>
      <c r="G23" s="5"/>
      <c r="H23" s="5"/>
    </row>
    <row r="24" spans="3:8" ht="27" customHeight="1">
      <c r="C24" s="140" t="s">
        <v>64</v>
      </c>
      <c r="D24" s="5"/>
      <c r="E24" s="5"/>
      <c r="F24" s="5"/>
      <c r="G24" s="5"/>
      <c r="H24" s="5"/>
    </row>
    <row r="25" spans="3:8" ht="41.25" customHeight="1">
      <c r="C25" s="139" t="s">
        <v>164</v>
      </c>
      <c r="D25" s="5"/>
      <c r="E25" s="5"/>
      <c r="F25" s="5"/>
      <c r="G25" s="5"/>
      <c r="H25" s="5"/>
    </row>
    <row r="26" spans="3:8">
      <c r="C26" s="139" t="s">
        <v>66</v>
      </c>
      <c r="D26" s="5"/>
      <c r="E26" s="5"/>
      <c r="F26" s="5"/>
      <c r="G26" s="5"/>
      <c r="H26" s="5"/>
    </row>
    <row r="27" spans="3:8" ht="24.75" thickBot="1">
      <c r="C27" s="141" t="s">
        <v>73</v>
      </c>
      <c r="D27" s="76">
        <f>IF(D18="رشته اصلی: فتوولتائیک",(3*D21+2*D22+2*D23+D24+D25+D26)/10,IF(D18="رشته مشابه: غیرفتوولتائیک",(3*D21+2*D22+2*D23+D24+D25+D26)/(10*2),0))</f>
        <v>0</v>
      </c>
      <c r="E27" s="76">
        <f t="shared" ref="E27:H27" si="0">IF(E18="رشته اصلی: فتوولتائیک",(3*E21+2*E22+2*E23+E24+E25+E26)/10,IF(E18="رشته مشابه: غیرفتوولتائیک",(3*E21+2*E22+2*E23+E24+E25+E26)/(10*2),0))</f>
        <v>0</v>
      </c>
      <c r="F27" s="142">
        <f t="shared" si="0"/>
        <v>0</v>
      </c>
      <c r="G27" s="142">
        <f t="shared" si="0"/>
        <v>0</v>
      </c>
      <c r="H27" s="142">
        <f t="shared" si="0"/>
        <v>0</v>
      </c>
    </row>
    <row r="28" spans="3:8" ht="24.75" thickBot="1">
      <c r="C28" s="68"/>
      <c r="F28" s="340" t="s">
        <v>130</v>
      </c>
      <c r="G28" s="341"/>
      <c r="H28" s="143">
        <f>AVERAGE(D27:H27)</f>
        <v>0</v>
      </c>
    </row>
    <row r="29" spans="3:8" ht="30" customHeight="1" thickBot="1">
      <c r="F29" s="342" t="s">
        <v>83</v>
      </c>
      <c r="G29" s="343"/>
      <c r="H29" s="144">
        <f>H28*10%</f>
        <v>0</v>
      </c>
    </row>
    <row r="31" spans="3:8" ht="48" customHeight="1">
      <c r="C31" s="334" t="s">
        <v>191</v>
      </c>
      <c r="D31" s="335"/>
      <c r="E31" s="335"/>
      <c r="F31" s="335"/>
      <c r="G31" s="335"/>
      <c r="H31" s="336"/>
    </row>
    <row r="32" spans="3:8" ht="44.25" customHeight="1">
      <c r="C32" s="337"/>
      <c r="D32" s="338"/>
      <c r="E32" s="338"/>
      <c r="F32" s="338"/>
      <c r="G32" s="338"/>
      <c r="H32" s="339"/>
    </row>
  </sheetData>
  <sheetProtection algorithmName="SHA-512" hashValue="gcbky0G6MzyyqkNa0vR45KoWrIGhDrlp6iiLoJSimbvW8W8PimjVYnpwuYHpA8EBDWBiKbYpk4vaSNXwIiI+8w==" saltValue="jc8Zjk+XbtaQr6UiKlIT1A==" spinCount="100000" sheet="1" selectLockedCells="1"/>
  <mergeCells count="11">
    <mergeCell ref="B4:B6"/>
    <mergeCell ref="C13:H13"/>
    <mergeCell ref="C2:G2"/>
    <mergeCell ref="B1:H1"/>
    <mergeCell ref="C31:H32"/>
    <mergeCell ref="F28:G28"/>
    <mergeCell ref="F29:G29"/>
    <mergeCell ref="C4:C6"/>
    <mergeCell ref="D4:G4"/>
    <mergeCell ref="D5:G5"/>
    <mergeCell ref="C15:H15"/>
  </mergeCells>
  <dataValidations count="1">
    <dataValidation type="list" allowBlank="1" showInputMessage="1" showErrorMessage="1" sqref="D21:H26">
      <formula1>$D$7:$G$7</formula1>
    </dataValidation>
  </dataValidation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پایه'!$B$2:$B$3</xm:f>
          </x14:formula1>
          <xm:sqref>D18:H18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M19"/>
  <sheetViews>
    <sheetView rightToLeft="1" topLeftCell="A5" zoomScaleNormal="100" workbookViewId="0">
      <selection activeCell="D5" sqref="D5"/>
    </sheetView>
  </sheetViews>
  <sheetFormatPr defaultColWidth="12.42578125" defaultRowHeight="22.5"/>
  <cols>
    <col min="1" max="1" width="4.5703125" style="148" customWidth="1"/>
    <col min="2" max="2" width="8.7109375" style="148" customWidth="1"/>
    <col min="3" max="3" width="60.42578125" style="148" customWidth="1"/>
    <col min="4" max="4" width="21.5703125" style="148" customWidth="1"/>
    <col min="5" max="5" width="20.7109375" style="148" customWidth="1"/>
    <col min="6" max="6" width="24.85546875" style="148" customWidth="1"/>
    <col min="7" max="7" width="20.140625" style="148" customWidth="1"/>
    <col min="8" max="8" width="23" style="148" customWidth="1"/>
    <col min="9" max="9" width="22.85546875" style="148" customWidth="1"/>
    <col min="10" max="10" width="11.5703125" style="148" customWidth="1"/>
    <col min="11" max="11" width="16.140625" style="148" customWidth="1"/>
    <col min="12" max="13" width="15" style="148" customWidth="1"/>
    <col min="14" max="16" width="12.42578125" style="148"/>
    <col min="17" max="17" width="23.42578125" style="148" customWidth="1"/>
    <col min="18" max="16384" width="12.42578125" style="148"/>
  </cols>
  <sheetData>
    <row r="1" spans="2:13" ht="30" customHeight="1" thickBot="1">
      <c r="B1" s="359" t="s">
        <v>105</v>
      </c>
      <c r="C1" s="360"/>
      <c r="D1" s="360"/>
      <c r="E1" s="360"/>
      <c r="F1" s="360"/>
      <c r="G1" s="361"/>
      <c r="H1" s="145"/>
      <c r="I1" s="146"/>
      <c r="J1" s="362"/>
      <c r="K1" s="362"/>
      <c r="L1" s="147"/>
      <c r="M1" s="147"/>
    </row>
    <row r="2" spans="2:13" ht="18" customHeight="1" thickBot="1">
      <c r="B2" s="149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 ht="39.950000000000003" customHeight="1" thickBot="1">
      <c r="B3" s="239" t="s">
        <v>100</v>
      </c>
      <c r="C3" s="240" t="s">
        <v>127</v>
      </c>
      <c r="D3" s="240" t="s">
        <v>101</v>
      </c>
      <c r="E3" s="240" t="s">
        <v>102</v>
      </c>
      <c r="F3" s="240" t="s">
        <v>112</v>
      </c>
      <c r="G3" s="241" t="s">
        <v>46</v>
      </c>
      <c r="H3" s="150"/>
      <c r="I3" s="150"/>
      <c r="J3" s="150"/>
      <c r="K3" s="150"/>
    </row>
    <row r="4" spans="2:13" ht="43.5" customHeight="1">
      <c r="B4" s="151">
        <v>1</v>
      </c>
      <c r="C4" s="152" t="s">
        <v>188</v>
      </c>
      <c r="D4" s="26">
        <f>F19</f>
        <v>1</v>
      </c>
      <c r="E4" s="20">
        <f>D4*100</f>
        <v>100</v>
      </c>
      <c r="F4" s="363">
        <f>IF(E8&gt;=30,100,E8*100/30)</f>
        <v>0</v>
      </c>
      <c r="G4" s="153"/>
      <c r="H4" s="147"/>
      <c r="I4" s="147"/>
      <c r="J4" s="147"/>
      <c r="K4" s="147"/>
    </row>
    <row r="5" spans="2:13">
      <c r="B5" s="154">
        <v>2</v>
      </c>
      <c r="C5" s="155" t="s">
        <v>133</v>
      </c>
      <c r="D5" s="17"/>
      <c r="E5" s="21">
        <f>D5*4</f>
        <v>0</v>
      </c>
      <c r="F5" s="363"/>
      <c r="G5" s="156"/>
      <c r="H5" s="147"/>
      <c r="I5" s="147"/>
      <c r="J5" s="147"/>
      <c r="K5" s="147"/>
    </row>
    <row r="6" spans="2:13">
      <c r="B6" s="154">
        <v>3</v>
      </c>
      <c r="C6" s="157" t="s">
        <v>106</v>
      </c>
      <c r="D6" s="17"/>
      <c r="E6" s="21">
        <f>D6*3</f>
        <v>0</v>
      </c>
      <c r="F6" s="363"/>
      <c r="G6" s="156"/>
      <c r="H6" s="147"/>
      <c r="I6" s="147"/>
      <c r="J6" s="147"/>
      <c r="K6" s="147"/>
    </row>
    <row r="7" spans="2:13" ht="43.5" customHeight="1">
      <c r="B7" s="154">
        <v>4</v>
      </c>
      <c r="C7" s="155" t="s">
        <v>189</v>
      </c>
      <c r="D7" s="18"/>
      <c r="E7" s="21">
        <f>D7</f>
        <v>0</v>
      </c>
      <c r="F7" s="363"/>
      <c r="G7" s="158"/>
      <c r="H7" s="159"/>
      <c r="I7" s="159"/>
      <c r="J7" s="159"/>
      <c r="K7" s="147"/>
    </row>
    <row r="8" spans="2:13" ht="21" customHeight="1" thickBot="1">
      <c r="B8" s="365" t="s">
        <v>103</v>
      </c>
      <c r="C8" s="366"/>
      <c r="D8" s="366"/>
      <c r="E8" s="22">
        <f>ROUND(MAX(E4:E7)/'اطلاعات پایه'!I3,1)</f>
        <v>0</v>
      </c>
      <c r="F8" s="364"/>
      <c r="G8" s="23"/>
      <c r="H8" s="159"/>
      <c r="I8" s="159"/>
      <c r="J8" s="159"/>
      <c r="K8" s="147"/>
      <c r="L8" s="147"/>
    </row>
    <row r="9" spans="2:13" ht="24.75" thickBot="1">
      <c r="E9" s="160" t="s">
        <v>83</v>
      </c>
      <c r="F9" s="161">
        <f>F4*25%</f>
        <v>0</v>
      </c>
    </row>
    <row r="10" spans="2:13" ht="23.25" thickBot="1"/>
    <row r="11" spans="2:13" ht="23.25" thickBot="1">
      <c r="C11" s="367" t="s">
        <v>118</v>
      </c>
      <c r="D11" s="368"/>
      <c r="E11" s="368"/>
      <c r="F11" s="369"/>
    </row>
    <row r="12" spans="2:13" ht="23.25" thickBot="1">
      <c r="C12" s="162" t="s">
        <v>107</v>
      </c>
      <c r="D12" s="163" t="s">
        <v>119</v>
      </c>
      <c r="E12" s="164" t="s">
        <v>104</v>
      </c>
      <c r="F12" s="165" t="s">
        <v>126</v>
      </c>
      <c r="J12" s="159"/>
    </row>
    <row r="13" spans="2:13">
      <c r="C13" s="166">
        <v>1396</v>
      </c>
      <c r="D13" s="16"/>
      <c r="E13" s="167">
        <f>'اطلاعات پایه'!$H$14/'اطلاعات پایه'!H10</f>
        <v>3.9872262773722631</v>
      </c>
      <c r="F13" s="24">
        <f t="shared" ref="F13:F17" si="0">E13*D13</f>
        <v>0</v>
      </c>
      <c r="J13" s="159"/>
    </row>
    <row r="14" spans="2:13">
      <c r="C14" s="168">
        <v>1397</v>
      </c>
      <c r="D14" s="15"/>
      <c r="E14" s="169">
        <f>'اطلاعات پایه'!$H$14/'اطلاعات پایه'!H11</f>
        <v>3.0389429763560498</v>
      </c>
      <c r="F14" s="25">
        <f t="shared" si="0"/>
        <v>0</v>
      </c>
      <c r="J14" s="159"/>
    </row>
    <row r="15" spans="2:13">
      <c r="C15" s="168">
        <v>1398</v>
      </c>
      <c r="D15" s="15"/>
      <c r="E15" s="169">
        <f>'اطلاعات پایه'!$H$14/'اطلاعات پایه'!H12</f>
        <v>2.1505905511811023</v>
      </c>
      <c r="F15" s="25">
        <f t="shared" si="0"/>
        <v>0</v>
      </c>
      <c r="J15" s="159"/>
    </row>
    <row r="16" spans="2:13">
      <c r="C16" s="168">
        <v>1399</v>
      </c>
      <c r="D16" s="15"/>
      <c r="E16" s="169">
        <f>'اطلاعات پایه'!$H$14/'اطلاعات پایه'!H13</f>
        <v>1.4620274339243895</v>
      </c>
      <c r="F16" s="25">
        <f t="shared" si="0"/>
        <v>0</v>
      </c>
      <c r="J16" s="159"/>
    </row>
    <row r="17" spans="3:11">
      <c r="C17" s="168">
        <v>1400</v>
      </c>
      <c r="D17" s="15">
        <v>1</v>
      </c>
      <c r="E17" s="169">
        <v>1</v>
      </c>
      <c r="F17" s="25">
        <f t="shared" si="0"/>
        <v>1</v>
      </c>
      <c r="J17" s="159"/>
    </row>
    <row r="18" spans="3:11" hidden="1">
      <c r="C18" s="170"/>
      <c r="D18" s="171"/>
      <c r="E18" s="172" t="s">
        <v>134</v>
      </c>
      <c r="F18" s="173">
        <f>COUNTIF(F13:F17,"&gt;0")</f>
        <v>1</v>
      </c>
      <c r="J18" s="159"/>
    </row>
    <row r="19" spans="3:11" ht="24">
      <c r="C19" s="356" t="s">
        <v>131</v>
      </c>
      <c r="D19" s="357"/>
      <c r="E19" s="358"/>
      <c r="F19" s="34">
        <f>SUM(F13:F17)/F18</f>
        <v>1</v>
      </c>
      <c r="K19" s="159"/>
    </row>
  </sheetData>
  <sheetProtection algorithmName="SHA-512" hashValue="5lPofPsvFiSf5YRINLNwUHvx4XTTVn+jXZoEvS4+5uONl23z2E49B1aL+cvRLys7COHFN/aApcubv7CCL5BNNA==" saltValue="bo66KFj6lzGkSz6GqnWE2Q==" spinCount="100000" sheet="1" objects="1" scenarios="1" selectLockedCells="1"/>
  <mergeCells count="6">
    <mergeCell ref="C19:E19"/>
    <mergeCell ref="B1:G1"/>
    <mergeCell ref="J1:K1"/>
    <mergeCell ref="F4:F8"/>
    <mergeCell ref="B8:D8"/>
    <mergeCell ref="C11:F11"/>
  </mergeCells>
  <pageMargins left="0.7" right="0.7" top="0.75" bottom="0.75" header="0.3" footer="0.3"/>
  <pageSetup scale="5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F8"/>
  <sheetViews>
    <sheetView rightToLeft="1" workbookViewId="0">
      <selection activeCell="E4" sqref="E4"/>
    </sheetView>
  </sheetViews>
  <sheetFormatPr defaultRowHeight="15"/>
  <cols>
    <col min="1" max="1" width="4.5703125" style="44" customWidth="1"/>
    <col min="2" max="2" width="7.85546875" style="44" customWidth="1"/>
    <col min="3" max="3" width="49.42578125" style="44" customWidth="1"/>
    <col min="4" max="5" width="12.42578125" style="44" customWidth="1"/>
    <col min="6" max="6" width="12.85546875" style="44" customWidth="1"/>
    <col min="7" max="16384" width="9.140625" style="44"/>
  </cols>
  <sheetData>
    <row r="1" spans="2:6" ht="27" thickBot="1">
      <c r="B1" s="370" t="s">
        <v>282</v>
      </c>
      <c r="C1" s="371"/>
      <c r="D1" s="371"/>
      <c r="E1" s="371"/>
      <c r="F1" s="372"/>
    </row>
    <row r="2" spans="2:6" ht="15.75" thickBot="1"/>
    <row r="3" spans="2:6" ht="42.75" thickBot="1">
      <c r="B3" s="243" t="s">
        <v>43</v>
      </c>
      <c r="C3" s="244" t="s">
        <v>20</v>
      </c>
      <c r="D3" s="245" t="s">
        <v>283</v>
      </c>
      <c r="E3" s="246" t="s">
        <v>284</v>
      </c>
      <c r="F3" s="247" t="s">
        <v>44</v>
      </c>
    </row>
    <row r="4" spans="2:6" ht="22.5">
      <c r="B4" s="248">
        <v>1</v>
      </c>
      <c r="C4" s="249" t="s">
        <v>285</v>
      </c>
      <c r="D4" s="248">
        <v>100</v>
      </c>
      <c r="E4" s="237"/>
      <c r="F4" s="250">
        <f>IF(E4="دارد",100,0)</f>
        <v>0</v>
      </c>
    </row>
    <row r="5" spans="2:6" ht="22.5">
      <c r="B5" s="251">
        <v>2</v>
      </c>
      <c r="C5" s="252" t="s">
        <v>286</v>
      </c>
      <c r="D5" s="251">
        <v>50</v>
      </c>
      <c r="E5" s="238"/>
      <c r="F5" s="253">
        <f>IF(E5="دارد",50,0)</f>
        <v>0</v>
      </c>
    </row>
    <row r="6" spans="2:6" ht="38.25" thickBot="1">
      <c r="B6" s="251">
        <v>3</v>
      </c>
      <c r="C6" s="252" t="s">
        <v>287</v>
      </c>
      <c r="D6" s="251">
        <v>20</v>
      </c>
      <c r="E6" s="242"/>
      <c r="F6" s="254">
        <f>IF(E6="دارد",20,0)</f>
        <v>0</v>
      </c>
    </row>
    <row r="7" spans="2:6" ht="23.25" thickBot="1">
      <c r="B7" s="255"/>
      <c r="C7" s="256"/>
      <c r="D7" s="255"/>
      <c r="E7" s="257" t="s">
        <v>54</v>
      </c>
      <c r="F7" s="258">
        <f>IF(SUM(F4:F6)&gt;100,100,SUM(F4:F6))</f>
        <v>0</v>
      </c>
    </row>
    <row r="8" spans="2:6" ht="27" thickBot="1">
      <c r="E8" s="259" t="s">
        <v>83</v>
      </c>
      <c r="F8" s="260">
        <f>F7*5%</f>
        <v>0</v>
      </c>
    </row>
  </sheetData>
  <sheetProtection algorithmName="SHA-512" hashValue="TDGu7LkZHGA/6nnLABEVHLRws172CTW2mdeBteRNyoj4YCVZgrXXCqvswpauhCE2TyFl89g+wsqGOSHVZ2Bxow==" saltValue="FEWijrhamSAKTqgSCFm0YQ==" spinCount="100000" sheet="1" objects="1" scenarios="1" selectLockedCells="1"/>
  <mergeCells count="1">
    <mergeCell ref="B1:F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پایه'!$B$24:$B$25</xm:f>
          </x14:formula1>
          <xm:sqref>E4:E6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Q11"/>
  <sheetViews>
    <sheetView rightToLeft="1" topLeftCell="C1" workbookViewId="0">
      <selection activeCell="J7" sqref="J7"/>
    </sheetView>
  </sheetViews>
  <sheetFormatPr defaultRowHeight="18"/>
  <cols>
    <col min="1" max="1" width="4.7109375" style="174" customWidth="1"/>
    <col min="2" max="2" width="9.140625" style="174"/>
    <col min="3" max="3" width="22" style="174" customWidth="1"/>
    <col min="4" max="4" width="10.42578125" style="174" customWidth="1"/>
    <col min="5" max="5" width="9.42578125" style="174" customWidth="1"/>
    <col min="6" max="6" width="10.140625" style="174" customWidth="1"/>
    <col min="7" max="7" width="19.5703125" style="174" customWidth="1"/>
    <col min="8" max="8" width="9.140625" style="174"/>
    <col min="9" max="9" width="10.85546875" style="174" customWidth="1"/>
    <col min="10" max="10" width="9.140625" style="174"/>
    <col min="11" max="11" width="10.5703125" style="174" customWidth="1"/>
    <col min="12" max="12" width="12.42578125" style="174" customWidth="1"/>
    <col min="13" max="13" width="10.140625" style="174" customWidth="1"/>
    <col min="14" max="14" width="11.42578125" style="174" customWidth="1"/>
    <col min="15" max="15" width="10.85546875" style="174" customWidth="1"/>
    <col min="16" max="16" width="12.28515625" style="174" customWidth="1"/>
    <col min="17" max="17" width="11" style="174" customWidth="1"/>
    <col min="18" max="16384" width="9.140625" style="174"/>
  </cols>
  <sheetData>
    <row r="1" spans="2:17" ht="27" thickBot="1">
      <c r="B1" s="370" t="s">
        <v>125</v>
      </c>
      <c r="C1" s="371"/>
      <c r="D1" s="371"/>
      <c r="E1" s="371"/>
      <c r="F1" s="371"/>
      <c r="G1" s="371"/>
      <c r="H1" s="372"/>
    </row>
    <row r="2" spans="2:17">
      <c r="B2" s="175"/>
    </row>
    <row r="3" spans="2:17" ht="24">
      <c r="B3" s="373" t="s">
        <v>172</v>
      </c>
      <c r="C3" s="373"/>
      <c r="D3" s="373"/>
      <c r="E3" s="373"/>
      <c r="F3" s="373"/>
      <c r="G3" s="373"/>
      <c r="H3" s="373"/>
      <c r="I3" s="373"/>
    </row>
    <row r="4" spans="2:17" s="178" customFormat="1" ht="30.75" customHeight="1">
      <c r="B4" s="176" t="s">
        <v>43</v>
      </c>
      <c r="C4" s="176" t="s">
        <v>136</v>
      </c>
      <c r="D4" s="176" t="s">
        <v>144</v>
      </c>
      <c r="E4" s="176" t="s">
        <v>145</v>
      </c>
      <c r="F4" s="176" t="s">
        <v>143</v>
      </c>
      <c r="G4" s="176" t="s">
        <v>137</v>
      </c>
      <c r="H4" s="177" t="s">
        <v>192</v>
      </c>
      <c r="I4" s="176" t="s">
        <v>138</v>
      </c>
      <c r="J4" s="176" t="s">
        <v>139</v>
      </c>
      <c r="K4" s="176" t="s">
        <v>140</v>
      </c>
      <c r="L4" s="176" t="s">
        <v>141</v>
      </c>
      <c r="M4" s="176" t="s">
        <v>142</v>
      </c>
      <c r="N4" s="176" t="s">
        <v>146</v>
      </c>
      <c r="O4" s="176" t="s">
        <v>147</v>
      </c>
      <c r="P4" s="176" t="s">
        <v>193</v>
      </c>
      <c r="Q4" s="176" t="s">
        <v>30</v>
      </c>
    </row>
    <row r="5" spans="2:17" s="178" customFormat="1" ht="21">
      <c r="B5" s="179">
        <v>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/>
      <c r="Q5" s="180">
        <f>IF(AND(F5&lt;&gt;"",P5="دارد"),20,IF(AND(F5&lt;&gt;"",P5="ندارد"),10,IF(AND(F5&lt;&gt;"",P5=""),10,0)))</f>
        <v>0</v>
      </c>
    </row>
    <row r="6" spans="2:17" s="178" customFormat="1" ht="21">
      <c r="B6" s="179">
        <v>2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7"/>
      <c r="Q6" s="180">
        <f t="shared" ref="Q6:Q9" si="0">IF(AND(F6&lt;&gt;"",P6="دارد"),20,IF(AND(F6&lt;&gt;"",P6="ندارد"),10,IF(AND(F6&lt;&gt;"",P6=""),10,0)))</f>
        <v>0</v>
      </c>
    </row>
    <row r="7" spans="2:17" s="178" customFormat="1" ht="21">
      <c r="B7" s="179">
        <v>3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7"/>
      <c r="Q7" s="180">
        <f t="shared" si="0"/>
        <v>0</v>
      </c>
    </row>
    <row r="8" spans="2:17" s="178" customFormat="1" ht="21">
      <c r="B8" s="179">
        <v>4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7"/>
      <c r="Q8" s="180">
        <f t="shared" si="0"/>
        <v>0</v>
      </c>
    </row>
    <row r="9" spans="2:17" s="178" customFormat="1" ht="21.75" thickBot="1">
      <c r="B9" s="179">
        <v>5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8"/>
      <c r="Q9" s="181">
        <f t="shared" si="0"/>
        <v>0</v>
      </c>
    </row>
    <row r="10" spans="2:17" ht="21.75" thickBot="1">
      <c r="P10" s="182" t="s">
        <v>54</v>
      </c>
      <c r="Q10" s="183">
        <f>SUM(Q5:Q9)</f>
        <v>0</v>
      </c>
    </row>
    <row r="11" spans="2:17" ht="21.75" thickBot="1">
      <c r="P11" s="184" t="s">
        <v>83</v>
      </c>
      <c r="Q11" s="185">
        <f>Q10*5%</f>
        <v>0</v>
      </c>
    </row>
  </sheetData>
  <sheetProtection algorithmName="SHA-512" hashValue="t9J8Q47TV0K5DJImHO/rk9OD9+URxDqf4dEW1iiia/umHTU47rtHXm2C1LYddvOYVVLkDNcfb8+c/IIE0kYcfQ==" saltValue="V3PWZ/dUNxOxEVBvI6quDA==" spinCount="100000" sheet="1" objects="1" scenarios="1" selectLockedCells="1"/>
  <mergeCells count="2">
    <mergeCell ref="B3:I3"/>
    <mergeCell ref="B1:H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پایه'!$B$24:$B$25</xm:f>
          </x14:formula1>
          <xm:sqref>P5:P9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72"/>
  <sheetViews>
    <sheetView rightToLeft="1" tabSelected="1" topLeftCell="A25" zoomScale="85" zoomScaleNormal="85" workbookViewId="0">
      <selection activeCell="E4" sqref="E4:E36"/>
    </sheetView>
  </sheetViews>
  <sheetFormatPr defaultColWidth="8.85546875" defaultRowHeight="22.5"/>
  <cols>
    <col min="1" max="1" width="6" style="46" customWidth="1"/>
    <col min="2" max="2" width="4.7109375" style="46" bestFit="1" customWidth="1"/>
    <col min="3" max="3" width="65.7109375" style="46" customWidth="1"/>
    <col min="4" max="4" width="21.140625" style="46" customWidth="1"/>
    <col min="5" max="5" width="28.7109375" style="46" customWidth="1"/>
    <col min="6" max="6" width="18.5703125" style="75" customWidth="1"/>
    <col min="7" max="7" width="12.85546875" style="46" customWidth="1"/>
    <col min="8" max="16384" width="8.85546875" style="46"/>
  </cols>
  <sheetData>
    <row r="1" spans="1:6" ht="30.75" thickBot="1">
      <c r="B1" s="318" t="s">
        <v>150</v>
      </c>
      <c r="C1" s="319"/>
      <c r="D1" s="319"/>
      <c r="E1" s="319"/>
      <c r="F1" s="320"/>
    </row>
    <row r="2" spans="1:6" ht="59.25" customHeight="1" thickBot="1">
      <c r="A2" s="174"/>
      <c r="B2" s="378" t="s">
        <v>261</v>
      </c>
      <c r="C2" s="378"/>
      <c r="D2" s="378"/>
      <c r="E2" s="378"/>
      <c r="F2" s="378"/>
    </row>
    <row r="3" spans="1:6" ht="39.75" thickBot="1">
      <c r="B3" s="189" t="s">
        <v>43</v>
      </c>
      <c r="C3" s="190" t="s">
        <v>194</v>
      </c>
      <c r="D3" s="190" t="s">
        <v>258</v>
      </c>
      <c r="E3" s="191" t="s">
        <v>259</v>
      </c>
      <c r="F3" s="192" t="s">
        <v>260</v>
      </c>
    </row>
    <row r="4" spans="1:6">
      <c r="B4" s="193">
        <v>1</v>
      </c>
      <c r="C4" s="194" t="s">
        <v>195</v>
      </c>
      <c r="D4" s="204"/>
      <c r="E4" s="398"/>
      <c r="F4" s="381">
        <v>50</v>
      </c>
    </row>
    <row r="5" spans="1:6">
      <c r="B5" s="195">
        <v>2</v>
      </c>
      <c r="C5" s="196" t="s">
        <v>196</v>
      </c>
      <c r="D5" s="205"/>
      <c r="E5" s="399"/>
      <c r="F5" s="376"/>
    </row>
    <row r="6" spans="1:6">
      <c r="B6" s="195">
        <v>3</v>
      </c>
      <c r="C6" s="196" t="s">
        <v>197</v>
      </c>
      <c r="D6" s="205"/>
      <c r="E6" s="399"/>
      <c r="F6" s="376"/>
    </row>
    <row r="7" spans="1:6">
      <c r="B7" s="195">
        <v>4</v>
      </c>
      <c r="C7" s="197" t="s">
        <v>198</v>
      </c>
      <c r="D7" s="206"/>
      <c r="E7" s="399"/>
      <c r="F7" s="376"/>
    </row>
    <row r="8" spans="1:6">
      <c r="B8" s="195">
        <v>5</v>
      </c>
      <c r="C8" s="196" t="s">
        <v>199</v>
      </c>
      <c r="D8" s="205"/>
      <c r="E8" s="399"/>
      <c r="F8" s="376"/>
    </row>
    <row r="9" spans="1:6">
      <c r="B9" s="195">
        <v>6</v>
      </c>
      <c r="C9" s="196" t="s">
        <v>200</v>
      </c>
      <c r="D9" s="205"/>
      <c r="E9" s="399"/>
      <c r="F9" s="376"/>
    </row>
    <row r="10" spans="1:6">
      <c r="B10" s="195">
        <v>7</v>
      </c>
      <c r="C10" s="196" t="s">
        <v>201</v>
      </c>
      <c r="D10" s="205"/>
      <c r="E10" s="399"/>
      <c r="F10" s="376"/>
    </row>
    <row r="11" spans="1:6">
      <c r="B11" s="195">
        <v>8</v>
      </c>
      <c r="C11" s="196" t="s">
        <v>202</v>
      </c>
      <c r="D11" s="205"/>
      <c r="E11" s="399"/>
      <c r="F11" s="376"/>
    </row>
    <row r="12" spans="1:6">
      <c r="B12" s="195">
        <v>9</v>
      </c>
      <c r="C12" s="196" t="s">
        <v>203</v>
      </c>
      <c r="D12" s="205"/>
      <c r="E12" s="399"/>
      <c r="F12" s="376"/>
    </row>
    <row r="13" spans="1:6">
      <c r="B13" s="195">
        <v>10</v>
      </c>
      <c r="C13" s="196" t="s">
        <v>204</v>
      </c>
      <c r="D13" s="205"/>
      <c r="E13" s="399"/>
      <c r="F13" s="376"/>
    </row>
    <row r="14" spans="1:6">
      <c r="B14" s="195">
        <v>11</v>
      </c>
      <c r="C14" s="196" t="s">
        <v>205</v>
      </c>
      <c r="D14" s="205"/>
      <c r="E14" s="399"/>
      <c r="F14" s="376"/>
    </row>
    <row r="15" spans="1:6">
      <c r="B15" s="195">
        <v>12</v>
      </c>
      <c r="C15" s="196" t="s">
        <v>206</v>
      </c>
      <c r="D15" s="205"/>
      <c r="E15" s="399"/>
      <c r="F15" s="376"/>
    </row>
    <row r="16" spans="1:6">
      <c r="B16" s="195">
        <v>13</v>
      </c>
      <c r="C16" s="196" t="s">
        <v>207</v>
      </c>
      <c r="D16" s="205"/>
      <c r="E16" s="399"/>
      <c r="F16" s="376"/>
    </row>
    <row r="17" spans="2:6">
      <c r="B17" s="195">
        <v>14</v>
      </c>
      <c r="C17" s="196" t="s">
        <v>208</v>
      </c>
      <c r="D17" s="205"/>
      <c r="E17" s="399"/>
      <c r="F17" s="376"/>
    </row>
    <row r="18" spans="2:6">
      <c r="B18" s="195">
        <v>15</v>
      </c>
      <c r="C18" s="196" t="s">
        <v>209</v>
      </c>
      <c r="D18" s="205"/>
      <c r="E18" s="399"/>
      <c r="F18" s="376"/>
    </row>
    <row r="19" spans="2:6">
      <c r="B19" s="195">
        <v>16</v>
      </c>
      <c r="C19" s="196" t="s">
        <v>210</v>
      </c>
      <c r="D19" s="205"/>
      <c r="E19" s="399"/>
      <c r="F19" s="376"/>
    </row>
    <row r="20" spans="2:6">
      <c r="B20" s="195">
        <v>17</v>
      </c>
      <c r="C20" s="196" t="s">
        <v>211</v>
      </c>
      <c r="D20" s="205"/>
      <c r="E20" s="399"/>
      <c r="F20" s="376"/>
    </row>
    <row r="21" spans="2:6">
      <c r="B21" s="195">
        <v>18</v>
      </c>
      <c r="C21" s="196" t="s">
        <v>212</v>
      </c>
      <c r="D21" s="205"/>
      <c r="E21" s="399"/>
      <c r="F21" s="376"/>
    </row>
    <row r="22" spans="2:6">
      <c r="B22" s="195">
        <v>19</v>
      </c>
      <c r="C22" s="196" t="s">
        <v>213</v>
      </c>
      <c r="D22" s="205"/>
      <c r="E22" s="399"/>
      <c r="F22" s="376"/>
    </row>
    <row r="23" spans="2:6">
      <c r="B23" s="195">
        <v>20</v>
      </c>
      <c r="C23" s="196" t="s">
        <v>214</v>
      </c>
      <c r="D23" s="205"/>
      <c r="E23" s="399"/>
      <c r="F23" s="376"/>
    </row>
    <row r="24" spans="2:6">
      <c r="B24" s="195">
        <v>21</v>
      </c>
      <c r="C24" s="196" t="s">
        <v>215</v>
      </c>
      <c r="D24" s="205"/>
      <c r="E24" s="399"/>
      <c r="F24" s="376"/>
    </row>
    <row r="25" spans="2:6">
      <c r="B25" s="195">
        <v>22</v>
      </c>
      <c r="C25" s="196" t="s">
        <v>216</v>
      </c>
      <c r="D25" s="205"/>
      <c r="E25" s="399"/>
      <c r="F25" s="376"/>
    </row>
    <row r="26" spans="2:6">
      <c r="B26" s="195">
        <v>23</v>
      </c>
      <c r="C26" s="196" t="s">
        <v>217</v>
      </c>
      <c r="D26" s="205"/>
      <c r="E26" s="399"/>
      <c r="F26" s="376"/>
    </row>
    <row r="27" spans="2:6">
      <c r="B27" s="195">
        <v>24</v>
      </c>
      <c r="C27" s="196" t="s">
        <v>218</v>
      </c>
      <c r="D27" s="205"/>
      <c r="E27" s="399"/>
      <c r="F27" s="376"/>
    </row>
    <row r="28" spans="2:6">
      <c r="B28" s="195">
        <v>25</v>
      </c>
      <c r="C28" s="196" t="s">
        <v>219</v>
      </c>
      <c r="D28" s="205"/>
      <c r="E28" s="399"/>
      <c r="F28" s="376"/>
    </row>
    <row r="29" spans="2:6">
      <c r="B29" s="195">
        <v>26</v>
      </c>
      <c r="C29" s="196" t="s">
        <v>220</v>
      </c>
      <c r="D29" s="205"/>
      <c r="E29" s="399"/>
      <c r="F29" s="376"/>
    </row>
    <row r="30" spans="2:6">
      <c r="B30" s="195">
        <v>27</v>
      </c>
      <c r="C30" s="196" t="s">
        <v>221</v>
      </c>
      <c r="D30" s="205"/>
      <c r="E30" s="399"/>
      <c r="F30" s="376"/>
    </row>
    <row r="31" spans="2:6">
      <c r="B31" s="195">
        <v>28</v>
      </c>
      <c r="C31" s="197" t="s">
        <v>222</v>
      </c>
      <c r="D31" s="206"/>
      <c r="E31" s="399"/>
      <c r="F31" s="376"/>
    </row>
    <row r="32" spans="2:6">
      <c r="B32" s="195">
        <v>29</v>
      </c>
      <c r="C32" s="196" t="s">
        <v>223</v>
      </c>
      <c r="D32" s="205"/>
      <c r="E32" s="399"/>
      <c r="F32" s="376"/>
    </row>
    <row r="33" spans="2:6">
      <c r="B33" s="195">
        <v>30</v>
      </c>
      <c r="C33" s="196" t="s">
        <v>224</v>
      </c>
      <c r="D33" s="205"/>
      <c r="E33" s="399"/>
      <c r="F33" s="376"/>
    </row>
    <row r="34" spans="2:6">
      <c r="B34" s="195">
        <v>31</v>
      </c>
      <c r="C34" s="196" t="s">
        <v>225</v>
      </c>
      <c r="D34" s="205"/>
      <c r="E34" s="399"/>
      <c r="F34" s="376"/>
    </row>
    <row r="35" spans="2:6">
      <c r="B35" s="195">
        <v>32</v>
      </c>
      <c r="C35" s="196" t="s">
        <v>226</v>
      </c>
      <c r="D35" s="205"/>
      <c r="E35" s="399"/>
      <c r="F35" s="376"/>
    </row>
    <row r="36" spans="2:6" ht="23.25" thickBot="1">
      <c r="B36" s="198">
        <v>33</v>
      </c>
      <c r="C36" s="199" t="s">
        <v>227</v>
      </c>
      <c r="D36" s="207"/>
      <c r="E36" s="400"/>
      <c r="F36" s="383"/>
    </row>
    <row r="37" spans="2:6" ht="39.75" thickBot="1">
      <c r="B37" s="379" t="s">
        <v>228</v>
      </c>
      <c r="C37" s="380"/>
      <c r="D37" s="190" t="s">
        <v>258</v>
      </c>
      <c r="E37" s="191" t="s">
        <v>259</v>
      </c>
      <c r="F37" s="192" t="s">
        <v>260</v>
      </c>
    </row>
    <row r="38" spans="2:6">
      <c r="B38" s="193">
        <v>34</v>
      </c>
      <c r="C38" s="194" t="s">
        <v>229</v>
      </c>
      <c r="D38" s="204"/>
      <c r="E38" s="398"/>
      <c r="F38" s="381">
        <v>30</v>
      </c>
    </row>
    <row r="39" spans="2:6">
      <c r="B39" s="195">
        <v>35</v>
      </c>
      <c r="C39" s="196" t="s">
        <v>230</v>
      </c>
      <c r="D39" s="205"/>
      <c r="E39" s="399"/>
      <c r="F39" s="376"/>
    </row>
    <row r="40" spans="2:6">
      <c r="B40" s="195">
        <v>36</v>
      </c>
      <c r="C40" s="196" t="s">
        <v>231</v>
      </c>
      <c r="D40" s="205"/>
      <c r="E40" s="399"/>
      <c r="F40" s="376"/>
    </row>
    <row r="41" spans="2:6">
      <c r="B41" s="195">
        <v>37</v>
      </c>
      <c r="C41" s="196" t="s">
        <v>232</v>
      </c>
      <c r="D41" s="205"/>
      <c r="E41" s="399"/>
      <c r="F41" s="376"/>
    </row>
    <row r="42" spans="2:6">
      <c r="B42" s="195">
        <v>38</v>
      </c>
      <c r="C42" s="196" t="s">
        <v>233</v>
      </c>
      <c r="D42" s="205"/>
      <c r="E42" s="399"/>
      <c r="F42" s="376"/>
    </row>
    <row r="43" spans="2:6">
      <c r="B43" s="195">
        <v>39</v>
      </c>
      <c r="C43" s="196" t="s">
        <v>234</v>
      </c>
      <c r="D43" s="205"/>
      <c r="E43" s="399"/>
      <c r="F43" s="376"/>
    </row>
    <row r="44" spans="2:6">
      <c r="B44" s="195">
        <v>40</v>
      </c>
      <c r="C44" s="196" t="s">
        <v>235</v>
      </c>
      <c r="D44" s="205"/>
      <c r="E44" s="399"/>
      <c r="F44" s="376"/>
    </row>
    <row r="45" spans="2:6">
      <c r="B45" s="195">
        <v>41</v>
      </c>
      <c r="C45" s="196" t="s">
        <v>236</v>
      </c>
      <c r="D45" s="205"/>
      <c r="E45" s="399"/>
      <c r="F45" s="376"/>
    </row>
    <row r="46" spans="2:6">
      <c r="B46" s="195">
        <v>42</v>
      </c>
      <c r="C46" s="196" t="s">
        <v>237</v>
      </c>
      <c r="D46" s="205"/>
      <c r="E46" s="399"/>
      <c r="F46" s="376"/>
    </row>
    <row r="47" spans="2:6">
      <c r="B47" s="195">
        <v>43</v>
      </c>
      <c r="C47" s="196" t="s">
        <v>238</v>
      </c>
      <c r="D47" s="205"/>
      <c r="E47" s="399"/>
      <c r="F47" s="376"/>
    </row>
    <row r="48" spans="2:6">
      <c r="B48" s="195">
        <v>44</v>
      </c>
      <c r="C48" s="196" t="s">
        <v>239</v>
      </c>
      <c r="D48" s="205"/>
      <c r="E48" s="399"/>
      <c r="F48" s="376"/>
    </row>
    <row r="49" spans="2:6">
      <c r="B49" s="195">
        <v>45</v>
      </c>
      <c r="C49" s="196" t="s">
        <v>240</v>
      </c>
      <c r="D49" s="205"/>
      <c r="E49" s="399"/>
      <c r="F49" s="376"/>
    </row>
    <row r="50" spans="2:6">
      <c r="B50" s="195">
        <v>46</v>
      </c>
      <c r="C50" s="196" t="s">
        <v>241</v>
      </c>
      <c r="D50" s="205"/>
      <c r="E50" s="399"/>
      <c r="F50" s="376"/>
    </row>
    <row r="51" spans="2:6">
      <c r="B51" s="195">
        <v>47</v>
      </c>
      <c r="C51" s="197" t="s">
        <v>242</v>
      </c>
      <c r="D51" s="206"/>
      <c r="E51" s="399"/>
      <c r="F51" s="376"/>
    </row>
    <row r="52" spans="2:6">
      <c r="B52" s="195">
        <v>48</v>
      </c>
      <c r="C52" s="196" t="s">
        <v>262</v>
      </c>
      <c r="D52" s="205"/>
      <c r="E52" s="399"/>
      <c r="F52" s="376"/>
    </row>
    <row r="53" spans="2:6">
      <c r="B53" s="195">
        <v>49</v>
      </c>
      <c r="C53" s="196" t="s">
        <v>243</v>
      </c>
      <c r="D53" s="205"/>
      <c r="E53" s="399"/>
      <c r="F53" s="376"/>
    </row>
    <row r="54" spans="2:6">
      <c r="B54" s="195">
        <v>50</v>
      </c>
      <c r="C54" s="196" t="s">
        <v>244</v>
      </c>
      <c r="D54" s="205"/>
      <c r="E54" s="399"/>
      <c r="F54" s="376"/>
    </row>
    <row r="55" spans="2:6">
      <c r="B55" s="195">
        <v>51</v>
      </c>
      <c r="C55" s="196" t="s">
        <v>245</v>
      </c>
      <c r="D55" s="205"/>
      <c r="E55" s="399"/>
      <c r="F55" s="376"/>
    </row>
    <row r="56" spans="2:6" ht="23.25" thickBot="1">
      <c r="B56" s="195">
        <v>52</v>
      </c>
      <c r="C56" s="196" t="s">
        <v>263</v>
      </c>
      <c r="D56" s="205"/>
      <c r="E56" s="399"/>
      <c r="F56" s="376"/>
    </row>
    <row r="57" spans="2:6" ht="39.75" thickBot="1">
      <c r="B57" s="374" t="s">
        <v>246</v>
      </c>
      <c r="C57" s="375"/>
      <c r="D57" s="190" t="s">
        <v>258</v>
      </c>
      <c r="E57" s="191" t="s">
        <v>259</v>
      </c>
      <c r="F57" s="192" t="s">
        <v>260</v>
      </c>
    </row>
    <row r="58" spans="2:6">
      <c r="B58" s="195">
        <v>53</v>
      </c>
      <c r="C58" s="196" t="s">
        <v>247</v>
      </c>
      <c r="D58" s="205"/>
      <c r="E58" s="397"/>
      <c r="F58" s="382">
        <v>10</v>
      </c>
    </row>
    <row r="59" spans="2:6">
      <c r="B59" s="195">
        <v>54</v>
      </c>
      <c r="C59" s="196" t="s">
        <v>264</v>
      </c>
      <c r="D59" s="205"/>
      <c r="E59" s="397"/>
      <c r="F59" s="382"/>
    </row>
    <row r="60" spans="2:6">
      <c r="B60" s="195">
        <v>55</v>
      </c>
      <c r="C60" s="196" t="s">
        <v>248</v>
      </c>
      <c r="D60" s="205"/>
      <c r="E60" s="397"/>
      <c r="F60" s="382"/>
    </row>
    <row r="61" spans="2:6">
      <c r="B61" s="195">
        <v>56</v>
      </c>
      <c r="C61" s="196" t="s">
        <v>249</v>
      </c>
      <c r="D61" s="205"/>
      <c r="E61" s="397"/>
      <c r="F61" s="382"/>
    </row>
    <row r="62" spans="2:6">
      <c r="B62" s="195">
        <v>57</v>
      </c>
      <c r="C62" s="196" t="s">
        <v>250</v>
      </c>
      <c r="D62" s="205"/>
      <c r="E62" s="397"/>
      <c r="F62" s="382"/>
    </row>
    <row r="63" spans="2:6" ht="23.25" thickBot="1">
      <c r="B63" s="195">
        <v>58</v>
      </c>
      <c r="C63" s="196" t="s">
        <v>251</v>
      </c>
      <c r="D63" s="205"/>
      <c r="E63" s="397"/>
      <c r="F63" s="382"/>
    </row>
    <row r="64" spans="2:6" ht="39.75" thickBot="1">
      <c r="B64" s="374" t="s">
        <v>149</v>
      </c>
      <c r="C64" s="375"/>
      <c r="D64" s="190" t="s">
        <v>258</v>
      </c>
      <c r="E64" s="191" t="s">
        <v>259</v>
      </c>
      <c r="F64" s="192" t="s">
        <v>260</v>
      </c>
    </row>
    <row r="65" spans="2:6">
      <c r="B65" s="195">
        <v>59</v>
      </c>
      <c r="C65" s="196" t="s">
        <v>252</v>
      </c>
      <c r="D65" s="205"/>
      <c r="E65" s="399"/>
      <c r="F65" s="376">
        <v>10</v>
      </c>
    </row>
    <row r="66" spans="2:6">
      <c r="B66" s="195">
        <v>60</v>
      </c>
      <c r="C66" s="197" t="s">
        <v>253</v>
      </c>
      <c r="D66" s="206"/>
      <c r="E66" s="399"/>
      <c r="F66" s="376"/>
    </row>
    <row r="67" spans="2:6">
      <c r="B67" s="195">
        <v>61</v>
      </c>
      <c r="C67" s="197" t="s">
        <v>254</v>
      </c>
      <c r="D67" s="206"/>
      <c r="E67" s="399"/>
      <c r="F67" s="376"/>
    </row>
    <row r="68" spans="2:6">
      <c r="B68" s="195">
        <v>62</v>
      </c>
      <c r="C68" s="197" t="s">
        <v>255</v>
      </c>
      <c r="D68" s="206"/>
      <c r="E68" s="399"/>
      <c r="F68" s="376"/>
    </row>
    <row r="69" spans="2:6">
      <c r="B69" s="195">
        <v>63</v>
      </c>
      <c r="C69" s="197" t="s">
        <v>256</v>
      </c>
      <c r="D69" s="206"/>
      <c r="E69" s="399"/>
      <c r="F69" s="376"/>
    </row>
    <row r="70" spans="2:6" ht="23.25" thickBot="1">
      <c r="B70" s="200">
        <v>64</v>
      </c>
      <c r="C70" s="201" t="s">
        <v>257</v>
      </c>
      <c r="D70" s="208"/>
      <c r="E70" s="401"/>
      <c r="F70" s="377"/>
    </row>
    <row r="71" spans="2:6" ht="23.25" thickBot="1">
      <c r="D71" s="202" t="s">
        <v>54</v>
      </c>
      <c r="E71" s="203">
        <f>SUM(E4:E70)</f>
        <v>0</v>
      </c>
    </row>
    <row r="72" spans="2:6" ht="23.25" thickBot="1">
      <c r="D72" s="184" t="s">
        <v>83</v>
      </c>
      <c r="E72" s="185">
        <f>E71*10%</f>
        <v>0</v>
      </c>
    </row>
  </sheetData>
  <sheetProtection algorithmName="SHA-512" hashValue="g8Npx+y3y0XOuIB1FTHXSxhToY12kRC/nmNDkQsZ6RZ9CO8gmtoDE2mLoKl3XK7RLI653e1IhnLvgNuavr2A+w==" saltValue="+UleOE1dbGWAgGaNoyO8lg==" spinCount="100000" sheet="1" selectLockedCells="1"/>
  <mergeCells count="13">
    <mergeCell ref="B64:C64"/>
    <mergeCell ref="E65:E70"/>
    <mergeCell ref="F65:F70"/>
    <mergeCell ref="B2:F2"/>
    <mergeCell ref="B1:F1"/>
    <mergeCell ref="B37:C37"/>
    <mergeCell ref="E38:E56"/>
    <mergeCell ref="F38:F56"/>
    <mergeCell ref="B57:C57"/>
    <mergeCell ref="E58:E63"/>
    <mergeCell ref="F58:F63"/>
    <mergeCell ref="E4:E36"/>
    <mergeCell ref="F4:F36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پایه'!$B$24:$B$25</xm:f>
          </x14:formula1>
          <xm:sqref>D4:D36 D38:D56 D58:D63 D65:D70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امتیاز کل</vt:lpstr>
      <vt:lpstr> اطلاعات عمومي و ثبتي شركت</vt:lpstr>
      <vt:lpstr>سابقه اجرایی</vt:lpstr>
      <vt:lpstr>حسن سابقه در کارهای قبلی</vt:lpstr>
      <vt:lpstr>توان مالی</vt:lpstr>
      <vt:lpstr>صلاحیت ایمنی</vt:lpstr>
      <vt:lpstr>تضمین کیفیت خدمات</vt:lpstr>
      <vt:lpstr>توان تجهیزاتی</vt:lpstr>
      <vt:lpstr>کفایت کادر فنی</vt:lpstr>
      <vt:lpstr>'امتیاز کل'!_Hlk52032933</vt:lpstr>
      <vt:lpstr>'توان تجهیزاتی'!_Toc42787377</vt:lpstr>
      <vt:lpstr>'توان مالی'!Print_Area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lastPrinted>2023-08-27T10:30:27Z</cp:lastPrinted>
  <dcterms:created xsi:type="dcterms:W3CDTF">2022-08-16T05:22:32Z</dcterms:created>
  <dcterms:modified xsi:type="dcterms:W3CDTF">2023-09-25T06:27:17Z</dcterms:modified>
</cp:coreProperties>
</file>